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-12" yWindow="-12" windowWidth="7680" windowHeight="8988" tabRatio="589" firstSheet="4" activeTab="5"/>
  </bookViews>
  <sheets>
    <sheet name="П 1.13 2016 расчет " sheetId="176" state="hidden" r:id="rId1"/>
    <sheet name="Выпад.дох.за 2015г.в тар.2017" sheetId="149" state="hidden" r:id="rId2"/>
    <sheet name="П.2.1." sheetId="6" state="hidden" r:id="rId3"/>
    <sheet name="П.2.2." sheetId="5" state="hidden" r:id="rId4"/>
    <sheet name="Баланс электроэнергии" sheetId="31" r:id="rId5"/>
    <sheet name="Баланс электрической мощности" sheetId="32" r:id="rId6"/>
    <sheet name="П1.30 -2020г., 1 и 2 п-е" sheetId="140" state="hidden" r:id="rId7"/>
    <sheet name="тсо 2020 год" sheetId="179" state="hidden" r:id="rId8"/>
    <sheet name="НК Энерго 2020 год" sheetId="180" state="hidden" r:id="rId9"/>
    <sheet name="Реестр всп.мат.2013пром. " sheetId="174" state="hidden" r:id="rId10"/>
    <sheet name="РСЭО факт за 2012г." sheetId="132" state="hidden" r:id="rId11"/>
    <sheet name="Услуги стор.орг..-2013г. " sheetId="147" state="hidden" r:id="rId12"/>
    <sheet name="++ Реестр всп.мат.2014 с ЛОЦ" sheetId="164" state="hidden" r:id="rId13"/>
    <sheet name="Реестр всп.мат.2013пром." sheetId="144" state="hidden" r:id="rId14"/>
    <sheet name="Реестр всп.мат.2012пром." sheetId="131" state="hidden" r:id="rId15"/>
    <sheet name="Услуги стор.орг..-2018-2020гг." sheetId="145" state="hidden" r:id="rId16"/>
    <sheet name="Услуги стор.орг..-2014г. (2)" sheetId="181" state="hidden" r:id="rId17"/>
    <sheet name="НВВ Расшифровка" sheetId="58" state="hidden" r:id="rId18"/>
    <sheet name="ФОТ 2018г. 2426+2496" sheetId="160" state="hidden" r:id="rId19"/>
    <sheet name="ФЗП  эл.эн.2014г. 2452" sheetId="163" state="hidden" r:id="rId20"/>
    <sheet name="П 1.16 АУП ОХР" sheetId="69" state="hidden" r:id="rId21"/>
    <sheet name="П 1.17ОХР " sheetId="168" state="hidden" r:id="rId22"/>
    <sheet name="П 1.17 свод" sheetId="66" state="hidden" r:id="rId23"/>
    <sheet name="Амортизация 19-20гг." sheetId="42" state="hidden" r:id="rId24"/>
    <sheet name="ФОТ 2019г. свод 2452" sheetId="117" state="hidden" r:id="rId25"/>
    <sheet name="ФОТ 2011г. цех 2496ПСХ" sheetId="162" state="hidden" r:id="rId26"/>
    <sheet name="1тсо кроме мрск" sheetId="137" state="hidden" r:id="rId27"/>
    <sheet name="2тсо кроме мрск" sheetId="138" state="hidden" r:id="rId28"/>
    <sheet name="2016 тсо кроме мрск" sheetId="139" state="hidden" r:id="rId29"/>
    <sheet name="2016 тсо НК Энергосб" sheetId="167" state="hidden" r:id="rId30"/>
    <sheet name="Выпад.2014г." sheetId="133" state="hidden" r:id="rId31"/>
    <sheet name="НВВ на содержание 2012г." sheetId="135" state="hidden" r:id="rId32"/>
    <sheet name="Реестр всп.мат.2010 пром.+ПСХ" sheetId="95" state="hidden" r:id="rId33"/>
    <sheet name="Реестр вспомог.мат.2011 ПСХ" sheetId="115" state="hidden" r:id="rId34"/>
    <sheet name="Работы и услуги 2011г." sheetId="64" state="hidden" r:id="rId35"/>
    <sheet name="РСЭО 2012г." sheetId="96" state="hidden" r:id="rId36"/>
    <sheet name="Распред.приб. на соц.разв.2011" sheetId="62" state="hidden" r:id="rId37"/>
    <sheet name="П 1.17 цех." sheetId="76" state="hidden" r:id="rId38"/>
    <sheet name="Амортизация цех10г. - 11г." sheetId="97" state="hidden" r:id="rId39"/>
    <sheet name="П 1.17 ОХР" sheetId="65" state="hidden" r:id="rId40"/>
    <sheet name="1 И 2 ПОЛУГОДИЕ 2012" sheetId="126" state="hidden" r:id="rId41"/>
    <sheet name="2012" sheetId="125" state="hidden" r:id="rId42"/>
    <sheet name="1п-е 2012" sheetId="127" state="hidden" r:id="rId43"/>
    <sheet name="2п-е 2012" sheetId="128" state="hidden" r:id="rId44"/>
    <sheet name="2012 год" sheetId="129" state="hidden" r:id="rId45"/>
    <sheet name="НВВ на содержание" sheetId="103" state="hidden" r:id="rId46"/>
    <sheet name="послед2012г.об.по стр-ре СЭ (2)" sheetId="124" state="hidden" r:id="rId47"/>
    <sheet name="12г.Бал.уточ.Энерг+подсобн.хоз." sheetId="112" state="hidden" r:id="rId48"/>
    <sheet name="Прилож.1-2012г." sheetId="114" state="hidden" r:id="rId49"/>
    <sheet name="2012 Баланс  " sheetId="87" state="hidden" r:id="rId50"/>
    <sheet name="стр-ра пол.отп. 2012г.июнь" sheetId="113" state="hidden" r:id="rId51"/>
    <sheet name="П1.30 - 07.06.11г." sheetId="99" state="hidden" r:id="rId52"/>
    <sheet name="С-Э и сет.расч.инд.межсет.2011" sheetId="79" state="hidden" r:id="rId53"/>
    <sheet name="изм.приказ 27 от 28.04.2011" sheetId="121" state="hidden" r:id="rId54"/>
    <sheet name="2012г.об.по стр-ре СЭ" sheetId="123" state="hidden" r:id="rId55"/>
    <sheet name="2012г.об.под факт2010" sheetId="122" state="hidden" r:id="rId56"/>
    <sheet name="пл.об расч.по инд.межсет.та (2)" sheetId="120" state="hidden" r:id="rId57"/>
    <sheet name="пл.об расч.по инд.межсет.тар.11" sheetId="80" state="hidden" r:id="rId58"/>
    <sheet name="УГРКЭ об.конрасч.по инд.межсет." sheetId="119" state="hidden" r:id="rId59"/>
    <sheet name="Прилож.2 структура 2011г.-2012г" sheetId="118" state="hidden" r:id="rId60"/>
    <sheet name="орг. Корр-ка НВВ 2014г." sheetId="130" state="hidden" r:id="rId61"/>
    <sheet name="П.2.1. утв.2015" sheetId="172" state="hidden" r:id="rId62"/>
    <sheet name="П.2.2.утв.2015" sheetId="173" state="hidden" r:id="rId63"/>
    <sheet name="1 И 2 ПОЛУГОДИЕ 2012 (2)" sheetId="170" state="hidden" r:id="rId64"/>
  </sheets>
  <externalReferences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</externalReferences>
  <definedNames>
    <definedName name="___________nt1">#REF!</definedName>
    <definedName name="___________nt2">#REF!</definedName>
    <definedName name="___________nt3">#REF!</definedName>
    <definedName name="___________nt4">#REF!</definedName>
    <definedName name="___________nt5">#REF!</definedName>
    <definedName name="___________nt6">#REF!</definedName>
    <definedName name="___________nt7">#REF!</definedName>
    <definedName name="___________nt8">#REF!</definedName>
    <definedName name="___________nt9">#REF!</definedName>
    <definedName name="___________tt5">#REF!</definedName>
    <definedName name="___________tt6">#REF!</definedName>
    <definedName name="___________ttt5">#REF!</definedName>
    <definedName name="___________zt2">#REF!</definedName>
    <definedName name="___________zt3">#REF!</definedName>
    <definedName name="___________zt4">#REF!</definedName>
    <definedName name="___________zt5">#REF!</definedName>
    <definedName name="___________zt51">#REF!</definedName>
    <definedName name="___________zt6">#REF!</definedName>
    <definedName name="___________zt7">#REF!</definedName>
    <definedName name="___________zt8">#REF!</definedName>
    <definedName name="__________nt1">#REF!</definedName>
    <definedName name="__________nt2">#REF!</definedName>
    <definedName name="__________nt3">#REF!</definedName>
    <definedName name="__________nt4">#REF!</definedName>
    <definedName name="__________nt5">#REF!</definedName>
    <definedName name="__________nt6">#REF!</definedName>
    <definedName name="__________nt7">#REF!</definedName>
    <definedName name="__________nt8">#REF!</definedName>
    <definedName name="__________nt9">#REF!</definedName>
    <definedName name="__________tt5">#REF!</definedName>
    <definedName name="__________tt6">#REF!</definedName>
    <definedName name="__________ttt5">#REF!</definedName>
    <definedName name="__________zt2">#REF!</definedName>
    <definedName name="__________zt3">#REF!</definedName>
    <definedName name="__________zt4">#REF!</definedName>
    <definedName name="__________zt5">#REF!</definedName>
    <definedName name="__________zt51">#REF!</definedName>
    <definedName name="__________zt6">#REF!</definedName>
    <definedName name="__________zt7">#REF!</definedName>
    <definedName name="__________zt8">#REF!</definedName>
    <definedName name="________nt1">#REF!</definedName>
    <definedName name="________nt2">#REF!</definedName>
    <definedName name="________nt3">#REF!</definedName>
    <definedName name="________nt4">#REF!</definedName>
    <definedName name="________nt5">#REF!</definedName>
    <definedName name="________nt6">#REF!</definedName>
    <definedName name="________nt7">#REF!</definedName>
    <definedName name="________nt8">#REF!</definedName>
    <definedName name="________nt9">#REF!</definedName>
    <definedName name="________tt5">#REF!</definedName>
    <definedName name="________tt6">#REF!</definedName>
    <definedName name="________ttt5">#REF!</definedName>
    <definedName name="________zt2">#REF!</definedName>
    <definedName name="________zt3">#REF!</definedName>
    <definedName name="________zt4">#REF!</definedName>
    <definedName name="________zt5">#REF!</definedName>
    <definedName name="________zt51">#REF!</definedName>
    <definedName name="________zt6">#REF!</definedName>
    <definedName name="________zt7">#REF!</definedName>
    <definedName name="________zt8">#REF!</definedName>
    <definedName name="________zt9">[1]s!$B$5</definedName>
    <definedName name="_______nt1">#REF!</definedName>
    <definedName name="_______nt2">#REF!</definedName>
    <definedName name="_______nt3">#REF!</definedName>
    <definedName name="_______nt4">#REF!</definedName>
    <definedName name="_______nt5">#REF!</definedName>
    <definedName name="_______nt6">#REF!</definedName>
    <definedName name="_______nt7">#REF!</definedName>
    <definedName name="_______nt8">#REF!</definedName>
    <definedName name="_______nt9">#REF!</definedName>
    <definedName name="_______tt5">#REF!</definedName>
    <definedName name="_______tt6">#REF!</definedName>
    <definedName name="_______ttt5">#REF!</definedName>
    <definedName name="_______zt2">#REF!</definedName>
    <definedName name="_______zt3">#REF!</definedName>
    <definedName name="_______zt4">#REF!</definedName>
    <definedName name="_______zt5">#REF!</definedName>
    <definedName name="_______zt51">#REF!</definedName>
    <definedName name="_______zt6">#REF!</definedName>
    <definedName name="_______zt7">#REF!</definedName>
    <definedName name="_______zt8">#REF!</definedName>
    <definedName name="_______zt9">[1]s!$B$5</definedName>
    <definedName name="______zt9">[1]s!$B$5</definedName>
    <definedName name="_____nt1">#REF!</definedName>
    <definedName name="_____nt2">#REF!</definedName>
    <definedName name="_____nt3">#REF!</definedName>
    <definedName name="_____nt4">#REF!</definedName>
    <definedName name="_____nt5">#REF!</definedName>
    <definedName name="_____nt6">#REF!</definedName>
    <definedName name="_____nt7">#REF!</definedName>
    <definedName name="_____nt8">#REF!</definedName>
    <definedName name="_____nt9">#REF!</definedName>
    <definedName name="_____tt5">#REF!</definedName>
    <definedName name="_____tt6">#REF!</definedName>
    <definedName name="_____ttt5">#REF!</definedName>
    <definedName name="_____zt2">#REF!</definedName>
    <definedName name="_____zt3">#REF!</definedName>
    <definedName name="_____zt4">#REF!</definedName>
    <definedName name="_____zt5">#REF!</definedName>
    <definedName name="_____zt51">#REF!</definedName>
    <definedName name="_____zt6">#REF!</definedName>
    <definedName name="_____zt7">#REF!</definedName>
    <definedName name="_____zt8">#REF!</definedName>
    <definedName name="_____zt9">[2]s!$B$5</definedName>
    <definedName name="____zt9">[1]s!$B$5</definedName>
    <definedName name="___nt1" localSheetId="0">#REF!</definedName>
    <definedName name="___nt1" localSheetId="16">#REF!</definedName>
    <definedName name="___nt1">#REF!</definedName>
    <definedName name="___nt2" localSheetId="0">#REF!</definedName>
    <definedName name="___nt2" localSheetId="16">#REF!</definedName>
    <definedName name="___nt2">#REF!</definedName>
    <definedName name="___nt3" localSheetId="0">#REF!</definedName>
    <definedName name="___nt3" localSheetId="16">#REF!</definedName>
    <definedName name="___nt3">#REF!</definedName>
    <definedName name="___nt4" localSheetId="0">#REF!</definedName>
    <definedName name="___nt4" localSheetId="16">#REF!</definedName>
    <definedName name="___nt4">#REF!</definedName>
    <definedName name="___nt5" localSheetId="0">#REF!</definedName>
    <definedName name="___nt5" localSheetId="16">#REF!</definedName>
    <definedName name="___nt5">#REF!</definedName>
    <definedName name="___nt6" localSheetId="0">#REF!</definedName>
    <definedName name="___nt6" localSheetId="16">#REF!</definedName>
    <definedName name="___nt6">#REF!</definedName>
    <definedName name="___nt7" localSheetId="0">#REF!</definedName>
    <definedName name="___nt7" localSheetId="16">#REF!</definedName>
    <definedName name="___nt7">#REF!</definedName>
    <definedName name="___nt8" localSheetId="0">#REF!</definedName>
    <definedName name="___nt8" localSheetId="16">#REF!</definedName>
    <definedName name="___nt8">#REF!</definedName>
    <definedName name="___nt9" localSheetId="0">#REF!</definedName>
    <definedName name="___nt9" localSheetId="16">#REF!</definedName>
    <definedName name="___nt9">#REF!</definedName>
    <definedName name="___tt5" localSheetId="0">#REF!</definedName>
    <definedName name="___tt5" localSheetId="16">#REF!</definedName>
    <definedName name="___tt5">#REF!</definedName>
    <definedName name="___tt6" localSheetId="0">#REF!</definedName>
    <definedName name="___tt6" localSheetId="16">#REF!</definedName>
    <definedName name="___tt6">#REF!</definedName>
    <definedName name="___ttt5" localSheetId="0">#REF!</definedName>
    <definedName name="___ttt5" localSheetId="16">#REF!</definedName>
    <definedName name="___ttt5">#REF!</definedName>
    <definedName name="___zt2" localSheetId="0">#REF!</definedName>
    <definedName name="___zt2" localSheetId="16">#REF!</definedName>
    <definedName name="___zt2">#REF!</definedName>
    <definedName name="___zt3" localSheetId="0">#REF!</definedName>
    <definedName name="___zt3" localSheetId="16">#REF!</definedName>
    <definedName name="___zt3">#REF!</definedName>
    <definedName name="___zt4" localSheetId="0">#REF!</definedName>
    <definedName name="___zt4" localSheetId="16">#REF!</definedName>
    <definedName name="___zt4">#REF!</definedName>
    <definedName name="___zt5" localSheetId="0">#REF!</definedName>
    <definedName name="___zt5" localSheetId="16">#REF!</definedName>
    <definedName name="___zt5">#REF!</definedName>
    <definedName name="___zt51" localSheetId="0">#REF!</definedName>
    <definedName name="___zt51" localSheetId="16">#REF!</definedName>
    <definedName name="___zt51">#REF!</definedName>
    <definedName name="___zt6" localSheetId="0">#REF!</definedName>
    <definedName name="___zt6" localSheetId="16">#REF!</definedName>
    <definedName name="___zt6">#REF!</definedName>
    <definedName name="___zt7" localSheetId="0">#REF!</definedName>
    <definedName name="___zt7" localSheetId="16">#REF!</definedName>
    <definedName name="___zt7">#REF!</definedName>
    <definedName name="___zt8" localSheetId="0">#REF!</definedName>
    <definedName name="___zt8" localSheetId="16">#REF!</definedName>
    <definedName name="___zt8">#REF!</definedName>
    <definedName name="___zt9">[1]s!$B$5</definedName>
    <definedName name="__nt1">#REF!</definedName>
    <definedName name="__nt2">#REF!</definedName>
    <definedName name="__nt3">#REF!</definedName>
    <definedName name="__nt4">#REF!</definedName>
    <definedName name="__nt5">#REF!</definedName>
    <definedName name="__nt6">#REF!</definedName>
    <definedName name="__nt7">#REF!</definedName>
    <definedName name="__nt8">#REF!</definedName>
    <definedName name="__nt9">#REF!</definedName>
    <definedName name="__tt5">#REF!</definedName>
    <definedName name="__tt6">#REF!</definedName>
    <definedName name="__ttt5">#REF!</definedName>
    <definedName name="__zt2">#REF!</definedName>
    <definedName name="__zt3">#REF!</definedName>
    <definedName name="__zt4">#REF!</definedName>
    <definedName name="__zt5">#REF!</definedName>
    <definedName name="__zt51">#REF!</definedName>
    <definedName name="__zt6">#REF!</definedName>
    <definedName name="__zt7">#REF!</definedName>
    <definedName name="__zt8">#REF!</definedName>
    <definedName name="__zt9">[1]s!$B$5</definedName>
    <definedName name="_Key1" hidden="1">#REF!</definedName>
    <definedName name="_nt1" localSheetId="0">#REF!</definedName>
    <definedName name="_nt1" localSheetId="16">#REF!</definedName>
    <definedName name="_nt1">#REF!</definedName>
    <definedName name="_nt2" localSheetId="0">#REF!</definedName>
    <definedName name="_nt2" localSheetId="16">#REF!</definedName>
    <definedName name="_nt2">#REF!</definedName>
    <definedName name="_nt3" localSheetId="0">#REF!</definedName>
    <definedName name="_nt3" localSheetId="16">#REF!</definedName>
    <definedName name="_nt3">#REF!</definedName>
    <definedName name="_nt4" localSheetId="0">#REF!</definedName>
    <definedName name="_nt4" localSheetId="16">#REF!</definedName>
    <definedName name="_nt4">#REF!</definedName>
    <definedName name="_nt5" localSheetId="0">#REF!</definedName>
    <definedName name="_nt5" localSheetId="16">#REF!</definedName>
    <definedName name="_nt5">#REF!</definedName>
    <definedName name="_nt6" localSheetId="0">#REF!</definedName>
    <definedName name="_nt6" localSheetId="16">#REF!</definedName>
    <definedName name="_nt6">#REF!</definedName>
    <definedName name="_nt7" localSheetId="0">#REF!</definedName>
    <definedName name="_nt7" localSheetId="16">#REF!</definedName>
    <definedName name="_nt7">#REF!</definedName>
    <definedName name="_nt8" localSheetId="0">#REF!</definedName>
    <definedName name="_nt8" localSheetId="16">#REF!</definedName>
    <definedName name="_nt8">#REF!</definedName>
    <definedName name="_nt9" localSheetId="0">#REF!</definedName>
    <definedName name="_nt9" localSheetId="16">#REF!</definedName>
    <definedName name="_nt9">#REF!</definedName>
    <definedName name="_Order1" hidden="1">255</definedName>
    <definedName name="_Sort" hidden="1">#REF!</definedName>
    <definedName name="_tt5" localSheetId="0">#REF!</definedName>
    <definedName name="_tt5" localSheetId="16">#REF!</definedName>
    <definedName name="_tt5">#REF!</definedName>
    <definedName name="_tt6" localSheetId="0">#REF!</definedName>
    <definedName name="_tt6" localSheetId="16">#REF!</definedName>
    <definedName name="_tt6">#REF!</definedName>
    <definedName name="_ttt5" localSheetId="0">#REF!</definedName>
    <definedName name="_ttt5" localSheetId="16">#REF!</definedName>
    <definedName name="_ttt5">#REF!</definedName>
    <definedName name="_zt2" localSheetId="0">#REF!</definedName>
    <definedName name="_zt2" localSheetId="16">#REF!</definedName>
    <definedName name="_zt2">#REF!</definedName>
    <definedName name="_zt3" localSheetId="0">#REF!</definedName>
    <definedName name="_zt3" localSheetId="16">#REF!</definedName>
    <definedName name="_zt3">#REF!</definedName>
    <definedName name="_zt4" localSheetId="0">#REF!</definedName>
    <definedName name="_zt4" localSheetId="16">#REF!</definedName>
    <definedName name="_zt4">#REF!</definedName>
    <definedName name="_zt5" localSheetId="0">#REF!</definedName>
    <definedName name="_zt5" localSheetId="16">#REF!</definedName>
    <definedName name="_zt5">#REF!</definedName>
    <definedName name="_zt51" localSheetId="0">#REF!</definedName>
    <definedName name="_zt51" localSheetId="16">#REF!</definedName>
    <definedName name="_zt51">#REF!</definedName>
    <definedName name="_zt6" localSheetId="0">#REF!</definedName>
    <definedName name="_zt6" localSheetId="16">#REF!</definedName>
    <definedName name="_zt6">#REF!</definedName>
    <definedName name="_zt7" localSheetId="0">#REF!</definedName>
    <definedName name="_zt7" localSheetId="16">#REF!</definedName>
    <definedName name="_zt7">#REF!</definedName>
    <definedName name="_zt8" localSheetId="0">#REF!</definedName>
    <definedName name="_zt8" localSheetId="16">#REF!</definedName>
    <definedName name="_zt8">#REF!</definedName>
    <definedName name="_zt9">[3]s!$B$5</definedName>
    <definedName name="AccessDatabase" hidden="1">"C:\My Documents\vlad\Var_2\can270398v2t05.mdb"</definedName>
    <definedName name="afrn" localSheetId="40" hidden="1">{#N/A,#N/A,FALSE,"общепр.расх"}</definedName>
    <definedName name="afrn" localSheetId="63" hidden="1">{#N/A,#N/A,FALSE,"общепр.расх"}</definedName>
    <definedName name="afrn" localSheetId="29">{#N/A,#N/A,FALSE,"общепр.расх"}</definedName>
    <definedName name="afrn" localSheetId="30" hidden="1">{#N/A,#N/A,FALSE,"общепр.расх"}</definedName>
    <definedName name="afrn" localSheetId="1" hidden="1">{#N/A,#N/A,FALSE,"общепр.расх"}</definedName>
    <definedName name="afrn" localSheetId="53" hidden="1">{#N/A,#N/A,FALSE,"общепр.расх"}</definedName>
    <definedName name="afrn" localSheetId="60" hidden="1">{#N/A,#N/A,FALSE,"общепр.расх"}</definedName>
    <definedName name="afrn" localSheetId="19" hidden="1">{#N/A,#N/A,FALSE,"общепр.расх"}</definedName>
    <definedName name="afrn" hidden="1">{#N/A,#N/A,FALSE,"общепр.расх"}</definedName>
    <definedName name="anscount" hidden="1">1</definedName>
    <definedName name="BASE_METHOD">[4]Титульный!$F$21</definedName>
    <definedName name="CURRENT_PERIOD_FOR_RAB">[4]Титульный!$F$17</definedName>
    <definedName name="Excel_BuiltIn_Print_Area" localSheetId="28">'2016 тсо кроме мрск'!$A$1:$F$78</definedName>
    <definedName name="Excel_BuiltIn_Print_Area" localSheetId="29">'2016 тсо НК Энергосб'!$A$1:$F$78</definedName>
    <definedName name="Excel_BuiltIn_Print_Area" localSheetId="27">'2тсо кроме мрск'!$A$1:$F$78</definedName>
    <definedName name="Excel_BuiltIn_Print_Area">'1тсо кроме мрск'!$A$1:$F$78</definedName>
    <definedName name="Excel_BuiltIn_Print_Area_1">#REF!</definedName>
    <definedName name="Excel_BuiltIn_Print_Area_15">#REF!</definedName>
    <definedName name="Excel_BuiltIn_Print_Area_20">#REF!</definedName>
    <definedName name="Excel_BuiltIn_Print_Area_20_1">#REF!</definedName>
    <definedName name="Excel_BuiltIn_Print_Area_3">#REF!</definedName>
    <definedName name="Excel_BuiltIn_Print_Area_7">#REF!</definedName>
    <definedName name="Excel_BuiltIn_Print_Area_8">#REF!</definedName>
    <definedName name="FIRST_PERIOD_FOR_RAB">[4]Титульный!$M$7</definedName>
    <definedName name="ggg" localSheetId="0">#REF!</definedName>
    <definedName name="ggg" localSheetId="16">#REF!</definedName>
    <definedName name="ggg">#REF!</definedName>
    <definedName name="ggg_1">NA()</definedName>
    <definedName name="ggg_2">NA()</definedName>
    <definedName name="ggg_3">NA()</definedName>
    <definedName name="ggg_4">NA()</definedName>
    <definedName name="ggg_5">NA()</definedName>
    <definedName name="ggg_6">NA()</definedName>
    <definedName name="god">[4]Титульный!$M$5</definedName>
    <definedName name="hhh" localSheetId="0">#REF!</definedName>
    <definedName name="hhh" localSheetId="16">#REF!</definedName>
    <definedName name="hhh">#REF!</definedName>
    <definedName name="hhh_1">NA()</definedName>
    <definedName name="hhh_2">NA()</definedName>
    <definedName name="hhh_3">NA()</definedName>
    <definedName name="hhh_4">NA()</definedName>
    <definedName name="hhh_5">NA()</definedName>
    <definedName name="hhh_6">NA()</definedName>
    <definedName name="hklhkf" localSheetId="0">#REF!</definedName>
    <definedName name="hklhkf" localSheetId="16">#REF!</definedName>
    <definedName name="hklhkf">#REF!</definedName>
    <definedName name="hklhkf_1">NA()</definedName>
    <definedName name="hklhkf_2">NA()</definedName>
    <definedName name="hklhkf_3">NA()</definedName>
    <definedName name="hklhkf_4">NA()</definedName>
    <definedName name="hklhkf_5">NA()</definedName>
    <definedName name="hklhkf_6">NA()</definedName>
    <definedName name="jjj" localSheetId="0">[1]s!#REF!</definedName>
    <definedName name="jjj" localSheetId="16">[1]s!#REF!</definedName>
    <definedName name="jjj">[1]s!#REF!</definedName>
    <definedName name="jjj_1">NA()</definedName>
    <definedName name="jjj_2">NA()</definedName>
    <definedName name="jjj_3">NA()</definedName>
    <definedName name="jjj_4">NA()</definedName>
    <definedName name="jjj_5">NA()</definedName>
    <definedName name="jjj_6">NA()</definedName>
    <definedName name="limcount" hidden="1">1</definedName>
    <definedName name="LONGTERM_SECTION_2_2">'[4]Расчёт расходов долгосрочный'!$G$33:$AB$33</definedName>
    <definedName name="LONGTERM_SECTION_5_1">'[4]Расчёт расходов долгосрочный'!$C$69</definedName>
    <definedName name="LONGTERM_SECTION_5_12">'[4]Расчёт расходов долгосрочный'!$I$86:$AB$86</definedName>
    <definedName name="LONGTERM_SECTION_5_6">'[4]Расчёт расходов долгосрочный'!$G$78:$AB$78</definedName>
    <definedName name="LONGTERM_SECTION_7">'[4]Расчёт расходов долгосрочный'!$I$94:$AB$94</definedName>
    <definedName name="LONGTERM_SECTION_INDEX">'[4]Расчёт расходов долгосрочный'!$G$22:$AB$22</definedName>
    <definedName name="LONGTERM_SECTION_MANAGED_COSTS">'[4]Расчёт расходов долгосрочный'!$G$63:$AB$63</definedName>
    <definedName name="LONGTERM_YEARS">'[4]Расчёт расходов долгосрочный'!$I$8:$AB$8</definedName>
    <definedName name="nt1_1">NA()</definedName>
    <definedName name="nt1_2">NA()</definedName>
    <definedName name="nt1_3">NA()</definedName>
    <definedName name="nt1_4">NA()</definedName>
    <definedName name="nt1_5">NA()</definedName>
    <definedName name="nt1_6">NA()</definedName>
    <definedName name="nt2_1">NA()</definedName>
    <definedName name="nt2_2">NA()</definedName>
    <definedName name="nt2_3">NA()</definedName>
    <definedName name="nt2_4">NA()</definedName>
    <definedName name="nt2_5">NA()</definedName>
    <definedName name="nt2_6">NA()</definedName>
    <definedName name="nt3_1">NA()</definedName>
    <definedName name="nt3_2">NA()</definedName>
    <definedName name="nt3_3">NA()</definedName>
    <definedName name="nt3_4">NA()</definedName>
    <definedName name="nt3_5">NA()</definedName>
    <definedName name="nt3_6">NA()</definedName>
    <definedName name="nt4_1">NA()</definedName>
    <definedName name="nt4_2">NA()</definedName>
    <definedName name="nt4_3">NA()</definedName>
    <definedName name="nt4_4">NA()</definedName>
    <definedName name="nt4_5">NA()</definedName>
    <definedName name="nt4_6">NA()</definedName>
    <definedName name="nt5_1" localSheetId="0">#REF!</definedName>
    <definedName name="nt5_1" localSheetId="16">#REF!</definedName>
    <definedName name="nt5_1">#REF!</definedName>
    <definedName name="nt5_1_1">NA()</definedName>
    <definedName name="nt5_1_1_1">NA()</definedName>
    <definedName name="nt5_1_2">NA()</definedName>
    <definedName name="nt5_1_3">NA()</definedName>
    <definedName name="nt5_1_4">NA()</definedName>
    <definedName name="nt5_1_5">NA()</definedName>
    <definedName name="nt5_1_6">NA()</definedName>
    <definedName name="nt5_2">NA()</definedName>
    <definedName name="nt5_3">NA()</definedName>
    <definedName name="nt5_4">NA()</definedName>
    <definedName name="nt5_5">NA()</definedName>
    <definedName name="nt5_6">NA()</definedName>
    <definedName name="nt6_1">NA()</definedName>
    <definedName name="nt6_2">NA()</definedName>
    <definedName name="nt6_3">NA()</definedName>
    <definedName name="nt6_4">NA()</definedName>
    <definedName name="nt6_5">NA()</definedName>
    <definedName name="nt6_6">NA()</definedName>
    <definedName name="nt7_1">NA()</definedName>
    <definedName name="nt7_2">NA()</definedName>
    <definedName name="nt7_3">NA()</definedName>
    <definedName name="nt7_4">NA()</definedName>
    <definedName name="nt7_5">NA()</definedName>
    <definedName name="nt7_6">NA()</definedName>
    <definedName name="nt8_1">NA()</definedName>
    <definedName name="nt8_2">NA()</definedName>
    <definedName name="nt8_3">NA()</definedName>
    <definedName name="nt8_4">NA()</definedName>
    <definedName name="nt8_5">NA()</definedName>
    <definedName name="nt8_6">NA()</definedName>
    <definedName name="nt9_1">NA()</definedName>
    <definedName name="nt9_2">NA()</definedName>
    <definedName name="nt9_3">NA()</definedName>
    <definedName name="nt9_4">NA()</definedName>
    <definedName name="nt9_5">NA()</definedName>
    <definedName name="nt9_6">NA()</definedName>
    <definedName name="NVV_BY_LEVELS_SMOOTHING_TOTAL_VALUES">'[4]НВВ по уровням'!$F$25,'[4]НВВ по уровням'!$F$38,'[4]НВВ по уровням'!$F$51,'[4]НВВ по уровням'!$F$64,'[4]НВВ по уровням'!$F$77,'[4]НВВ по уровням'!$F$90,'[4]НВВ по уровням'!$F$103,'[4]НВВ по уровням'!$F$116,'[4]НВВ по уровням'!$F$129,'[4]НВВ по уровням'!$F$142,'[4]НВВ по уровням'!$F$155,'[4]НВВ по уровням'!$F$168,'[4]НВВ по уровням'!$F$181,'[4]НВВ по уровням'!$F$194,'[4]НВВ по уровням'!$F$207,'[4]НВВ по уровням'!$F$220,'[4]НВВ по уровням'!$F$233,'[4]НВВ по уровням'!$F$246,'[4]НВВ по уровням'!$F$259,'[4]НВВ по уровням'!$F$272,'[4]НВВ по уровням'!$F$285,'[4]НВВ по уровням'!$F$298,'[4]НВВ по уровням'!$F$311,'[4]НВВ по уровням'!$F$324,'[4]НВВ по уровням'!$F$337,'[4]НВВ по уровням'!$F$350</definedName>
    <definedName name="NVV_BY_LEVELS_SMOOTHING_YEARS">'[4]НВВ по уровням'!$C$25,'[4]НВВ по уровням'!$C$38,'[4]НВВ по уровням'!$C$51,'[4]НВВ по уровням'!$C$64,'[4]НВВ по уровням'!$C$77,'[4]НВВ по уровням'!$C$90,'[4]НВВ по уровням'!$C$103,'[4]НВВ по уровням'!$C$116,'[4]НВВ по уровням'!$C$129,'[4]НВВ по уровням'!$C$142,'[4]НВВ по уровням'!$C$155,'[4]НВВ по уровням'!$C$168,'[4]НВВ по уровням'!$C$181,'[4]НВВ по уровням'!$C$194,'[4]НВВ по уровням'!$C$207,'[4]НВВ по уровням'!$C$220,'[4]НВВ по уровням'!$C$233,'[4]НВВ по уровням'!$C$246,'[4]НВВ по уровням'!$C$259,'[4]НВВ по уровням'!$C$272,'[4]НВВ по уровням'!$C$285,'[4]НВВ по уровням'!$C$298,'[4]НВВ по уровням'!$C$311,'[4]НВВ по уровням'!$C$324,'[4]НВВ по уровням'!$C$337,'[4]НВВ по уровням'!$C$350</definedName>
    <definedName name="org">[4]Титульный!$F$10</definedName>
    <definedName name="PREBASE_METHOD">[4]Титульный!$F$20</definedName>
    <definedName name="RAB_SECTION_2_3">'[4]Расчёт расходов RAB'!$G$33:$H$33,'[4]Расчёт расходов RAB'!$J$33:$K$33,'[4]Расчёт расходов RAB'!$M$33:$N$33,'[4]Расчёт расходов RAB'!$P$33:$Q$33,'[4]Расчёт расходов RAB'!$S$33:$T$33,'[4]Расчёт расходов RAB'!$V$33:$W$33,'[4]Расчёт расходов RAB'!$Y$33:$Z$33,'[4]Расчёт расходов RAB'!$AB$33:$AC$33,'[4]Расчёт расходов RAB'!$AE$33:$AF$33,'[4]Расчёт расходов RAB'!$AH$33:$AI$33,'[4]Расчёт расходов RAB'!$AK$33:$AL$33,'[4]Расчёт расходов RAB'!$AN$33:$AO$33,'[4]Расчёт расходов RAB'!$AQ$33:$AR$33</definedName>
    <definedName name="RAB_SECTION_3_6">'[4]Расчёт расходов RAB'!$G$71:$H$71,'[4]Расчёт расходов RAB'!$J$71:$K$71,'[4]Расчёт расходов RAB'!$M$71:$N$71,'[4]Расчёт расходов RAB'!$P$71:$Q$71,'[4]Расчёт расходов RAB'!$S$71:$T$71,'[4]Расчёт расходов RAB'!$V$71:$W$71,'[4]Расчёт расходов RAB'!$Y$71:$Z$71,'[4]Расчёт расходов RAB'!$AB$71:$AC$71,'[4]Расчёт расходов RAB'!$AE$71:$AF$71,'[4]Расчёт расходов RAB'!$AH$71:$AI$71,'[4]Расчёт расходов RAB'!$AK$71:$AL$71,'[4]Расчёт расходов RAB'!$AN$71:$AO$71,'[4]Расчёт расходов RAB'!$AQ$71:$AR$71</definedName>
    <definedName name="RAB_SECTION_INDEX">'[4]Расчёт расходов RAB'!$G$22:$H$22,'[4]Расчёт расходов RAB'!$J$22:$K$22,'[4]Расчёт расходов RAB'!$M$22:$N$22,'[4]Расчёт расходов RAB'!$P$22:$Q$22,'[4]Расчёт расходов RAB'!$S$22:$T$22,'[4]Расчёт расходов RAB'!$V$22:$W$22,'[4]Расчёт расходов RAB'!$Y$22:$Z$22,'[4]Расчёт расходов RAB'!$AB$22:$AC$22,'[4]Расчёт расходов RAB'!$AE$22:$AF$22,'[4]Расчёт расходов RAB'!$AH$22:$AI$22,'[4]Расчёт расходов RAB'!$AK$22:$AL$22,'[4]Расчёт расходов RAB'!$AN$22:$AO$22,'[4]Расчёт расходов RAB'!$AQ$22:$AR$22</definedName>
    <definedName name="RAB_SECTION_MANAGED_COSTS">'[4]Расчёт расходов RAB'!$G$56:$H$56,'[4]Расчёт расходов RAB'!$J$56:$K$56,'[4]Расчёт расходов RAB'!$M$56:$N$56,'[4]Расчёт расходов RAB'!$P$56:$Q$56,'[4]Расчёт расходов RAB'!$S$56:$T$56,'[4]Расчёт расходов RAB'!$V$56:$W$56,'[4]Расчёт расходов RAB'!$Y$56:$Z$56,'[4]Расчёт расходов RAB'!$AB$56:$AC$56,'[4]Расчёт расходов RAB'!$AE$56:$AF$56,'[4]Расчёт расходов RAB'!$AH$56:$AI$56,'[4]Расчёт расходов RAB'!$AK$56:$AL$56,'[4]Расчёт расходов RAB'!$AN$56:$AO$56,'[4]Расчёт расходов RAB'!$AQ$56:$AR$56</definedName>
    <definedName name="RAB_SECTION_TOTAL_NVV">'[4]Расчёт расходов RAB'!$G$93:$H$93,'[4]Расчёт расходов RAB'!$J$93:$K$93,'[4]Расчёт расходов RAB'!$M$93:$N$93,'[4]Расчёт расходов RAB'!$P$93:$Q$93,'[4]Расчёт расходов RAB'!$S$93:$T$93,'[4]Расчёт расходов RAB'!$V$93:$W$93,'[4]Расчёт расходов RAB'!$Y$93:$Z$93,'[4]Расчёт расходов RAB'!$AB$93:$AC$93,'[4]Расчёт расходов RAB'!$AE$93:$AF$93,'[4]Расчёт расходов RAB'!$AH$93:$AI$93,'[4]Расчёт расходов RAB'!$AK$93:$AL$93,'[4]Расчёт расходов RAB'!$AN$93:$AO$93,'[4]Расчёт расходов RAB'!$AQ$93:$AR$93</definedName>
    <definedName name="RAB_YEARS">'[4]Расчёт расходов RAB'!$G$8:$H$8,'[4]Расчёт расходов RAB'!$J$8:$K$8,'[4]Расчёт расходов RAB'!$M$8:$N$8,'[4]Расчёт расходов RAB'!$P$8:$Q$8,'[4]Расчёт расходов RAB'!$S$8:$T$8,'[4]Расчёт расходов RAB'!$V$8:$W$8,'[4]Расчёт расходов RAB'!$Y$8:$Z$8,'[4]Расчёт расходов RAB'!$AB$8:$AC$8,'[4]Расчёт расходов RAB'!$AE$8:$AF$8,'[4]Расчёт расходов RAB'!$AH$8:$AI$8,'[4]Расчёт расходов RAB'!$AK$8:$AL$8,'[4]Расчёт расходов RAB'!$AN$8:$AO$8,'[4]Расчёт расходов RAB'!$AQ$8:$AR$8</definedName>
    <definedName name="rasch_god">[5]НОРМАТИВЫ!$D$3</definedName>
    <definedName name="reg_name">[4]Титульный!$F$6</definedName>
    <definedName name="REGULATION_1_METHOD">[4]Титульный!$F$23</definedName>
    <definedName name="REGULATION_10_METHOD">[4]Титульный!$F$32</definedName>
    <definedName name="REGULATION_2_METHOD">[4]Титульный!$F$24</definedName>
    <definedName name="REGULATION_3_METHOD">[4]Титульный!$F$25</definedName>
    <definedName name="REGULATION_4_METHOD">[4]Титульный!$F$26</definedName>
    <definedName name="REGULATION_5_METHOD">[4]Титульный!$F$27</definedName>
    <definedName name="REGULATION_6_METHOD">[4]Титульный!$F$28</definedName>
    <definedName name="REGULATION_7_METHOD">[4]Титульный!$F$29</definedName>
    <definedName name="REGULATION_8_METHOD">[4]Титульный!$F$30</definedName>
    <definedName name="REGULATION_9_METHOD">[4]Титульный!$F$31</definedName>
    <definedName name="REGULATION_METHOD">[4]Титульный!$F$22</definedName>
    <definedName name="SCOPE_16_PRT" localSheetId="12">P1_SCOPE_16_PRT,P2_SCOPE_16_PRT</definedName>
    <definedName name="SCOPE_16_PRT" localSheetId="63">P1_SCOPE_16_PRT,P2_SCOPE_16_PRT</definedName>
    <definedName name="SCOPE_16_PRT" localSheetId="0">P1_SCOPE_16_PRT,P2_SCOPE_16_PRT</definedName>
    <definedName name="SCOPE_16_PRT" localSheetId="21">P1_SCOPE_16_PRT,P2_SCOPE_16_PRT</definedName>
    <definedName name="SCOPE_16_PRT" localSheetId="9">P1_SCOPE_16_PRT,P2_SCOPE_16_PRT</definedName>
    <definedName name="SCOPE_16_PRT" localSheetId="16">P1_SCOPE_16_PRT,P2_SCOPE_16_PRT</definedName>
    <definedName name="SCOPE_16_PRT" localSheetId="19">P1_SCOPE_16_PRT,P2_SCOPE_16_PRT</definedName>
    <definedName name="SCOPE_16_PRT">P1_SCOPE_16_PRT,P2_SCOPE_16_PRT</definedName>
    <definedName name="SCOPE_PER_PRT" localSheetId="12">P5_SCOPE_PER_PRT,P6_SCOPE_PER_PRT,P7_SCOPE_PER_PRT,P8_SCOPE_PER_PRT</definedName>
    <definedName name="SCOPE_PER_PRT" localSheetId="63">P5_SCOPE_PER_PRT,P6_SCOPE_PER_PRT,P7_SCOPE_PER_PRT,P8_SCOPE_PER_PRT</definedName>
    <definedName name="SCOPE_PER_PRT" localSheetId="0">P5_SCOPE_PER_PRT,P6_SCOPE_PER_PRT,P7_SCOPE_PER_PRT,P8_SCOPE_PER_PRT</definedName>
    <definedName name="SCOPE_PER_PRT" localSheetId="21">P5_SCOPE_PER_PRT,P6_SCOPE_PER_PRT,P7_SCOPE_PER_PRT,P8_SCOPE_PER_PRT</definedName>
    <definedName name="SCOPE_PER_PRT" localSheetId="9">P5_SCOPE_PER_PRT,P6_SCOPE_PER_PRT,P7_SCOPE_PER_PRT,P8_SCOPE_PER_PRT</definedName>
    <definedName name="SCOPE_PER_PRT" localSheetId="16">P5_SCOPE_PER_PRT,P6_SCOPE_PER_PRT,P7_SCOPE_PER_PRT,P8_SCOPE_PER_PRT</definedName>
    <definedName name="SCOPE_PER_PRT" localSheetId="19">P5_SCOPE_PER_PRT,P6_SCOPE_PER_PRT,P7_SCOPE_PER_PRT,P8_SCOPE_PER_PRT</definedName>
    <definedName name="SCOPE_PER_PRT">P5_SCOPE_PER_PRT,P6_SCOPE_PER_PRT,P7_SCOPE_PER_PRT,P8_SCOPE_PER_PRT</definedName>
    <definedName name="SCOPE_SV_PRT" localSheetId="12">P1_SCOPE_SV_PRT,P2_SCOPE_SV_PRT,P3_SCOPE_SV_PRT</definedName>
    <definedName name="SCOPE_SV_PRT" localSheetId="63">P1_SCOPE_SV_PRT,P2_SCOPE_SV_PRT,P3_SCOPE_SV_PRT</definedName>
    <definedName name="SCOPE_SV_PRT" localSheetId="0">P1_SCOPE_SV_PRT,P2_SCOPE_SV_PRT,P3_SCOPE_SV_PRT</definedName>
    <definedName name="SCOPE_SV_PRT" localSheetId="21">P1_SCOPE_SV_PRT,P2_SCOPE_SV_PRT,P3_SCOPE_SV_PRT</definedName>
    <definedName name="SCOPE_SV_PRT" localSheetId="9">P1_SCOPE_SV_PRT,P2_SCOPE_SV_PRT,P3_SCOPE_SV_PRT</definedName>
    <definedName name="SCOPE_SV_PRT" localSheetId="16">P1_SCOPE_SV_PRT,P2_SCOPE_SV_PRT,P3_SCOPE_SV_PRT</definedName>
    <definedName name="SCOPE_SV_PRT" localSheetId="19">P1_SCOPE_SV_PRT,P2_SCOPE_SV_PRT,P3_SCOPE_SV_PRT</definedName>
    <definedName name="SCOPE_SV_PRT">P1_SCOPE_SV_PRT,P2_SCOPE_SV_PRT,P3_SCOPE_SV_PRT</definedName>
    <definedName name="sencount" hidden="1">1</definedName>
    <definedName name="T2_DiapProt" localSheetId="12">P1_T2_DiapProt,P2_T2_DiapProt</definedName>
    <definedName name="T2_DiapProt" localSheetId="63">P1_T2_DiapProt,P2_T2_DiapProt</definedName>
    <definedName name="T2_DiapProt" localSheetId="0">P1_T2_DiapProt,P2_T2_DiapProt</definedName>
    <definedName name="T2_DiapProt" localSheetId="21">P1_T2_DiapProt,P2_T2_DiapProt</definedName>
    <definedName name="T2_DiapProt" localSheetId="9">P1_T2_DiapProt,P2_T2_DiapProt</definedName>
    <definedName name="T2_DiapProt" localSheetId="16">P1_T2_DiapProt,P2_T2_DiapProt</definedName>
    <definedName name="T2_DiapProt" localSheetId="19">P1_T2_DiapProt,P2_T2_DiapProt</definedName>
    <definedName name="T2_DiapProt">P1_T2_DiapProt,P2_T2_DiapProt</definedName>
    <definedName name="T6_Protect" localSheetId="12">P1_T6_Protect,P2_T6_Protect</definedName>
    <definedName name="T6_Protect" localSheetId="63">P1_T6_Protect,P2_T6_Protect</definedName>
    <definedName name="T6_Protect" localSheetId="0">P1_T6_Protect,P2_T6_Protect</definedName>
    <definedName name="T6_Protect" localSheetId="21">P1_T6_Protect,P2_T6_Protect</definedName>
    <definedName name="T6_Protect" localSheetId="9">P1_T6_Protect,P2_T6_Protect</definedName>
    <definedName name="T6_Protect" localSheetId="16">P1_T6_Protect,P2_T6_Protect</definedName>
    <definedName name="T6_Protect" localSheetId="19">P1_T6_Protect,P2_T6_Protect</definedName>
    <definedName name="T6_Protect">P1_T6_Protect,P2_T6_Protect</definedName>
    <definedName name="tt5_1">NA()</definedName>
    <definedName name="tt5_2">NA()</definedName>
    <definedName name="tt5_3">NA()</definedName>
    <definedName name="tt5_4">NA()</definedName>
    <definedName name="tt5_5">NA()</definedName>
    <definedName name="tt5_6">NA()</definedName>
    <definedName name="tt6_1">NA()</definedName>
    <definedName name="tt6_2">NA()</definedName>
    <definedName name="tt6_3">NA()</definedName>
    <definedName name="tt6_4">NA()</definedName>
    <definedName name="tt6_5">NA()</definedName>
    <definedName name="tt6_6">NA()</definedName>
    <definedName name="ttt5_1">NA()</definedName>
    <definedName name="ttt5_2">NA()</definedName>
    <definedName name="ttt5_3">NA()</definedName>
    <definedName name="ttt5_4">NA()</definedName>
    <definedName name="ttt5_5">NA()</definedName>
    <definedName name="ttt5_6">NA()</definedName>
    <definedName name="version">[4]Инструкция!$N$2</definedName>
    <definedName name="wrn.План" localSheetId="40" hidden="1">{"Прибыль пресс",#N/A,FALSE,"Прессов"}</definedName>
    <definedName name="wrn.План" localSheetId="63" hidden="1">{"Прибыль пресс",#N/A,FALSE,"Прессов"}</definedName>
    <definedName name="wrn.План" localSheetId="29">{"Прибыль пресс",#N/A,FALSE,"Прессов"}</definedName>
    <definedName name="wrn.План" localSheetId="30" hidden="1">{"Прибыль пресс",#N/A,FALSE,"Прессов"}</definedName>
    <definedName name="wrn.План" localSheetId="1" hidden="1">{"Прибыль пресс",#N/A,FALSE,"Прессов"}</definedName>
    <definedName name="wrn.План" localSheetId="53" hidden="1">{"Прибыль пресс",#N/A,FALSE,"Прессов"}</definedName>
    <definedName name="wrn.План" localSheetId="60" hidden="1">{"Прибыль пресс",#N/A,FALSE,"Прессов"}</definedName>
    <definedName name="wrn.План" localSheetId="19" hidden="1">{"Прибыль пресс",#N/A,FALSE,"Прессов"}</definedName>
    <definedName name="wrn.План" hidden="1">{"Прибыль пресс",#N/A,FALSE,"Прессов"}</definedName>
    <definedName name="wrn.Прибыль._.дерев." localSheetId="40" hidden="1">{"Прибыль дерев",#N/A,FALSE,"Дерев"}</definedName>
    <definedName name="wrn.Прибыль._.дерев." localSheetId="63" hidden="1">{"Прибыль дерев",#N/A,FALSE,"Дерев"}</definedName>
    <definedName name="wrn.Прибыль._.дерев." localSheetId="29">{"Прибыль дерев",#N/A,FALSE,"Дерев"}</definedName>
    <definedName name="wrn.Прибыль._.дерев." localSheetId="30" hidden="1">{"Прибыль дерев",#N/A,FALSE,"Дерев"}</definedName>
    <definedName name="wrn.Прибыль._.дерев." localSheetId="1" hidden="1">{"Прибыль дерев",#N/A,FALSE,"Дерев"}</definedName>
    <definedName name="wrn.Прибыль._.дерев." localSheetId="53" hidden="1">{"Прибыль дерев",#N/A,FALSE,"Дерев"}</definedName>
    <definedName name="wrn.Прибыль._.дерев." localSheetId="60" hidden="1">{"Прибыль дерев",#N/A,FALSE,"Дерев"}</definedName>
    <definedName name="wrn.Прибыль._.дерев." localSheetId="19" hidden="1">{"Прибыль дерев",#N/A,FALSE,"Дерев"}</definedName>
    <definedName name="wrn.Прибыль._.дерев." hidden="1">{"Прибыль дерев",#N/A,FALSE,"Дерев"}</definedName>
    <definedName name="wrn.Прибыль._.ЗАП." localSheetId="40" hidden="1">{"Прибыль ЗАП",#N/A,FALSE,"ЗАП"}</definedName>
    <definedName name="wrn.Прибыль._.ЗАП." localSheetId="63" hidden="1">{"Прибыль ЗАП",#N/A,FALSE,"ЗАП"}</definedName>
    <definedName name="wrn.Прибыль._.ЗАП." localSheetId="29">{"Прибыль ЗАП",#N/A,FALSE,"ЗАП"}</definedName>
    <definedName name="wrn.Прибыль._.ЗАП." localSheetId="30" hidden="1">{"Прибыль ЗАП",#N/A,FALSE,"ЗАП"}</definedName>
    <definedName name="wrn.Прибыль._.ЗАП." localSheetId="1" hidden="1">{"Прибыль ЗАП",#N/A,FALSE,"ЗАП"}</definedName>
    <definedName name="wrn.Прибыль._.ЗАП." localSheetId="53" hidden="1">{"Прибыль ЗАП",#N/A,FALSE,"ЗАП"}</definedName>
    <definedName name="wrn.Прибыль._.ЗАП." localSheetId="60" hidden="1">{"Прибыль ЗАП",#N/A,FALSE,"ЗАП"}</definedName>
    <definedName name="wrn.Прибыль._.ЗАП." localSheetId="19" hidden="1">{"Прибыль ЗАП",#N/A,FALSE,"ЗАП"}</definedName>
    <definedName name="wrn.Прибыль._.ЗАП." hidden="1">{"Прибыль ЗАП",#N/A,FALSE,"ЗАП"}</definedName>
    <definedName name="wrn.Прибыль._.инстр." localSheetId="40" hidden="1">{"Прибыль инстр",#N/A,FALSE,"Инстр"}</definedName>
    <definedName name="wrn.Прибыль._.инстр." localSheetId="63" hidden="1">{"Прибыль инстр",#N/A,FALSE,"Инстр"}</definedName>
    <definedName name="wrn.Прибыль._.инстр." localSheetId="29">{"Прибыль инстр",#N/A,FALSE,"Инстр"}</definedName>
    <definedName name="wrn.Прибыль._.инстр." localSheetId="30" hidden="1">{"Прибыль инстр",#N/A,FALSE,"Инстр"}</definedName>
    <definedName name="wrn.Прибыль._.инстр." localSheetId="1" hidden="1">{"Прибыль инстр",#N/A,FALSE,"Инстр"}</definedName>
    <definedName name="wrn.Прибыль._.инстр." localSheetId="53" hidden="1">{"Прибыль инстр",#N/A,FALSE,"Инстр"}</definedName>
    <definedName name="wrn.Прибыль._.инстр." localSheetId="60" hidden="1">{"Прибыль инстр",#N/A,FALSE,"Инстр"}</definedName>
    <definedName name="wrn.Прибыль._.инстр." localSheetId="19" hidden="1">{"Прибыль инстр",#N/A,FALSE,"Инстр"}</definedName>
    <definedName name="wrn.Прибыль._.инстр." hidden="1">{"Прибыль инстр",#N/A,FALSE,"Инстр"}</definedName>
    <definedName name="wrn.Прибыль._.литейн." localSheetId="40" hidden="1">{"Прибыль",#N/A,FALSE,"Литейн"}</definedName>
    <definedName name="wrn.Прибыль._.литейн." localSheetId="63" hidden="1">{"Прибыль",#N/A,FALSE,"Литейн"}</definedName>
    <definedName name="wrn.Прибыль._.литейн." localSheetId="29">{"Прибыль",#N/A,FALSE,"Литейн"}</definedName>
    <definedName name="wrn.Прибыль._.литейн." localSheetId="30" hidden="1">{"Прибыль",#N/A,FALSE,"Литейн"}</definedName>
    <definedName name="wrn.Прибыль._.литейн." localSheetId="1" hidden="1">{"Прибыль",#N/A,FALSE,"Литейн"}</definedName>
    <definedName name="wrn.Прибыль._.литейн." localSheetId="53" hidden="1">{"Прибыль",#N/A,FALSE,"Литейн"}</definedName>
    <definedName name="wrn.Прибыль._.литейн." localSheetId="60" hidden="1">{"Прибыль",#N/A,FALSE,"Литейн"}</definedName>
    <definedName name="wrn.Прибыль._.литейн." localSheetId="19" hidden="1">{"Прибыль",#N/A,FALSE,"Литейн"}</definedName>
    <definedName name="wrn.Прибыль._.литейн." hidden="1">{"Прибыль",#N/A,FALSE,"Литейн"}</definedName>
    <definedName name="wrn.Прибыль._.механ." localSheetId="40" hidden="1">{"Прибыль механ",#N/A,FALSE,"Механ"}</definedName>
    <definedName name="wrn.Прибыль._.механ." localSheetId="63" hidden="1">{"Прибыль механ",#N/A,FALSE,"Механ"}</definedName>
    <definedName name="wrn.Прибыль._.механ." localSheetId="29">{"Прибыль механ",#N/A,FALSE,"Механ"}</definedName>
    <definedName name="wrn.Прибыль._.механ." localSheetId="30" hidden="1">{"Прибыль механ",#N/A,FALSE,"Механ"}</definedName>
    <definedName name="wrn.Прибыль._.механ." localSheetId="1" hidden="1">{"Прибыль механ",#N/A,FALSE,"Механ"}</definedName>
    <definedName name="wrn.Прибыль._.механ." localSheetId="53" hidden="1">{"Прибыль механ",#N/A,FALSE,"Механ"}</definedName>
    <definedName name="wrn.Прибыль._.механ." localSheetId="60" hidden="1">{"Прибыль механ",#N/A,FALSE,"Механ"}</definedName>
    <definedName name="wrn.Прибыль._.механ." localSheetId="19" hidden="1">{"Прибыль механ",#N/A,FALSE,"Механ"}</definedName>
    <definedName name="wrn.Прибыль._.механ." hidden="1">{"Прибыль механ",#N/A,FALSE,"Механ"}</definedName>
    <definedName name="wrn.Прибыль._.прессов." localSheetId="40" hidden="1">{"Прибыль пресс",#N/A,FALSE,"Прессов"}</definedName>
    <definedName name="wrn.Прибыль._.прессов." localSheetId="63" hidden="1">{"Прибыль пресс",#N/A,FALSE,"Прессов"}</definedName>
    <definedName name="wrn.Прибыль._.прессов." localSheetId="29">{"Прибыль пресс",#N/A,FALSE,"Прессов"}</definedName>
    <definedName name="wrn.Прибыль._.прессов." localSheetId="30" hidden="1">{"Прибыль пресс",#N/A,FALSE,"Прессов"}</definedName>
    <definedName name="wrn.Прибыль._.прессов." localSheetId="1" hidden="1">{"Прибыль пресс",#N/A,FALSE,"Прессов"}</definedName>
    <definedName name="wrn.Прибыль._.прессов." localSheetId="53" hidden="1">{"Прибыль пресс",#N/A,FALSE,"Прессов"}</definedName>
    <definedName name="wrn.Прибыль._.прессов." localSheetId="60" hidden="1">{"Прибыль пресс",#N/A,FALSE,"Прессов"}</definedName>
    <definedName name="wrn.Прибыль._.прессов." localSheetId="19" hidden="1">{"Прибыль пресс",#N/A,FALSE,"Прессов"}</definedName>
    <definedName name="wrn.Прибыль._.прессов." hidden="1">{"Прибыль пресс",#N/A,FALSE,"Прессов"}</definedName>
    <definedName name="wrn.Прибыль._.прокатн." localSheetId="40" hidden="1">{"Прибыль прокатн",#N/A,FALSE,"Прокатн"}</definedName>
    <definedName name="wrn.Прибыль._.прокатн." localSheetId="63" hidden="1">{"Прибыль прокатн",#N/A,FALSE,"Прокатн"}</definedName>
    <definedName name="wrn.Прибыль._.прокатн." localSheetId="29">{"Прибыль прокатн",#N/A,FALSE,"Прокатн"}</definedName>
    <definedName name="wrn.Прибыль._.прокатн." localSheetId="30" hidden="1">{"Прибыль прокатн",#N/A,FALSE,"Прокатн"}</definedName>
    <definedName name="wrn.Прибыль._.прокатн." localSheetId="1" hidden="1">{"Прибыль прокатн",#N/A,FALSE,"Прокатн"}</definedName>
    <definedName name="wrn.Прибыль._.прокатн." localSheetId="53" hidden="1">{"Прибыль прокатн",#N/A,FALSE,"Прокатн"}</definedName>
    <definedName name="wrn.Прибыль._.прокатн." localSheetId="60" hidden="1">{"Прибыль прокатн",#N/A,FALSE,"Прокатн"}</definedName>
    <definedName name="wrn.Прибыль._.прокатн." localSheetId="19" hidden="1">{"Прибыль прокатн",#N/A,FALSE,"Прокатн"}</definedName>
    <definedName name="wrn.Прибыль._.прокатн." hidden="1">{"Прибыль прокатн",#N/A,FALSE,"Прокатн"}</definedName>
    <definedName name="wrn.Прибыль._.СаМеКо." localSheetId="40" hidden="1">{"Прибыль СаМеКо",#N/A,FALSE,"Итог СаМеКо"}</definedName>
    <definedName name="wrn.Прибыль._.СаМеКо." localSheetId="63" hidden="1">{"Прибыль СаМеКо",#N/A,FALSE,"Итог СаМеКо"}</definedName>
    <definedName name="wrn.Прибыль._.СаМеКо." localSheetId="29">{"Прибыль СаМеКо",#N/A,FALSE,"Итог СаМеКо"}</definedName>
    <definedName name="wrn.Прибыль._.СаМеКо." localSheetId="30" hidden="1">{"Прибыль СаМеКо",#N/A,FALSE,"Итог СаМеКо"}</definedName>
    <definedName name="wrn.Прибыль._.СаМеКо." localSheetId="1" hidden="1">{"Прибыль СаМеКо",#N/A,FALSE,"Итог СаМеКо"}</definedName>
    <definedName name="wrn.Прибыль._.СаМеКо." localSheetId="53" hidden="1">{"Прибыль СаМеКо",#N/A,FALSE,"Итог СаМеКо"}</definedName>
    <definedName name="wrn.Прибыль._.СаМеКо." localSheetId="60" hidden="1">{"Прибыль СаМеКо",#N/A,FALSE,"Итог СаМеКо"}</definedName>
    <definedName name="wrn.Прибыль._.СаМеКо." localSheetId="19" hidden="1">{"Прибыль СаМеКо",#N/A,FALSE,"Итог СаМеКо"}</definedName>
    <definedName name="wrn.Прибыль._.СаМеКо." hidden="1">{"Прибыль СаМеКо",#N/A,FALSE,"Итог СаМеКо"}</definedName>
    <definedName name="wrn.Прибыль._.СМЗ." localSheetId="40" hidden="1">{"Прибыль СМЗ",#N/A,FALSE,"СМЗ"}</definedName>
    <definedName name="wrn.Прибыль._.СМЗ." localSheetId="63" hidden="1">{"Прибыль СМЗ",#N/A,FALSE,"СМЗ"}</definedName>
    <definedName name="wrn.Прибыль._.СМЗ." localSheetId="29">{"Прибыль СМЗ",#N/A,FALSE,"СМЗ"}</definedName>
    <definedName name="wrn.Прибыль._.СМЗ." localSheetId="30" hidden="1">{"Прибыль СМЗ",#N/A,FALSE,"СМЗ"}</definedName>
    <definedName name="wrn.Прибыль._.СМЗ." localSheetId="1" hidden="1">{"Прибыль СМЗ",#N/A,FALSE,"СМЗ"}</definedName>
    <definedName name="wrn.Прибыль._.СМЗ." localSheetId="53" hidden="1">{"Прибыль СМЗ",#N/A,FALSE,"СМЗ"}</definedName>
    <definedName name="wrn.Прибыль._.СМЗ." localSheetId="60" hidden="1">{"Прибыль СМЗ",#N/A,FALSE,"СМЗ"}</definedName>
    <definedName name="wrn.Прибыль._.СМЗ." localSheetId="19" hidden="1">{"Прибыль СМЗ",#N/A,FALSE,"СМЗ"}</definedName>
    <definedName name="wrn.Прибыль._.СМЗ." hidden="1">{"Прибыль СМЗ",#N/A,FALSE,"СМЗ"}</definedName>
    <definedName name="wrn.Прибыль._.энерг." localSheetId="40" hidden="1">{"Приибыль энерг",#N/A,FALSE,"Энерг"}</definedName>
    <definedName name="wrn.Прибыль._.энерг." localSheetId="63" hidden="1">{"Приибыль энерг",#N/A,FALSE,"Энерг"}</definedName>
    <definedName name="wrn.Прибыль._.энерг." localSheetId="29">{"Приибыль энерг",#N/A,FALSE,"Энерг"}</definedName>
    <definedName name="wrn.Прибыль._.энерг." localSheetId="30" hidden="1">{"Приибыль энерг",#N/A,FALSE,"Энерг"}</definedName>
    <definedName name="wrn.Прибыль._.энерг." localSheetId="1" hidden="1">{"Приибыль энерг",#N/A,FALSE,"Энерг"}</definedName>
    <definedName name="wrn.Прибыль._.энерг." localSheetId="53" hidden="1">{"Приибыль энерг",#N/A,FALSE,"Энерг"}</definedName>
    <definedName name="wrn.Прибыль._.энерг." localSheetId="60" hidden="1">{"Приибыль энерг",#N/A,FALSE,"Энерг"}</definedName>
    <definedName name="wrn.Прибыль._.энерг." localSheetId="19" hidden="1">{"Приибыль энерг",#N/A,FALSE,"Энерг"}</definedName>
    <definedName name="wrn.Прибыль._.энерг." hidden="1">{"Приибыль энерг",#N/A,FALSE,"Энерг"}</definedName>
    <definedName name="wrn.смета." localSheetId="40" hidden="1">{#N/A,#N/A,FALSE,"общепр.расх"}</definedName>
    <definedName name="wrn.смета." localSheetId="63" hidden="1">{#N/A,#N/A,FALSE,"общепр.расх"}</definedName>
    <definedName name="wrn.смета." localSheetId="29">{#N/A,#N/A,FALSE,"общепр.расх"}</definedName>
    <definedName name="wrn.смета." localSheetId="30" hidden="1">{#N/A,#N/A,FALSE,"общепр.расх"}</definedName>
    <definedName name="wrn.смета." localSheetId="1" hidden="1">{#N/A,#N/A,FALSE,"общепр.расх"}</definedName>
    <definedName name="wrn.смета." localSheetId="53" hidden="1">{#N/A,#N/A,FALSE,"общепр.расх"}</definedName>
    <definedName name="wrn.смета." localSheetId="60" hidden="1">{#N/A,#N/A,FALSE,"общепр.расх"}</definedName>
    <definedName name="wrn.смета." localSheetId="19" hidden="1">{#N/A,#N/A,FALSE,"общепр.расх"}</definedName>
    <definedName name="wrn.смета." hidden="1">{#N/A,#N/A,FALSE,"общепр.расх"}</definedName>
    <definedName name="Z_30FEE15E_D26F_11D4_A6F7_00508B6A7686_.wvu.FilterData" localSheetId="12" hidden="1">#REF!</definedName>
    <definedName name="Z_30FEE15E_D26F_11D4_A6F7_00508B6A7686_.wvu.FilterData" localSheetId="63" hidden="1">#REF!</definedName>
    <definedName name="Z_30FEE15E_D26F_11D4_A6F7_00508B6A7686_.wvu.FilterData" localSheetId="29">#REF!</definedName>
    <definedName name="Z_30FEE15E_D26F_11D4_A6F7_00508B6A7686_.wvu.FilterData" localSheetId="1" hidden="1">#REF!</definedName>
    <definedName name="Z_30FEE15E_D26F_11D4_A6F7_00508B6A7686_.wvu.FilterData" localSheetId="0" hidden="1">#REF!</definedName>
    <definedName name="Z_30FEE15E_D26F_11D4_A6F7_00508B6A7686_.wvu.FilterData" localSheetId="21" hidden="1">#REF!</definedName>
    <definedName name="Z_30FEE15E_D26F_11D4_A6F7_00508B6A7686_.wvu.FilterData" localSheetId="6" hidden="1">#REF!</definedName>
    <definedName name="Z_30FEE15E_D26F_11D4_A6F7_00508B6A7686_.wvu.FilterData" localSheetId="13" hidden="1">#REF!</definedName>
    <definedName name="Z_30FEE15E_D26F_11D4_A6F7_00508B6A7686_.wvu.FilterData" localSheetId="9" hidden="1">#REF!</definedName>
    <definedName name="Z_30FEE15E_D26F_11D4_A6F7_00508B6A7686_.wvu.FilterData" localSheetId="11" hidden="1">#REF!</definedName>
    <definedName name="Z_30FEE15E_D26F_11D4_A6F7_00508B6A7686_.wvu.FilterData" localSheetId="16" hidden="1">#REF!</definedName>
    <definedName name="Z_30FEE15E_D26F_11D4_A6F7_00508B6A7686_.wvu.FilterData" localSheetId="19" hidden="1">#REF!</definedName>
    <definedName name="Z_30FEE15E_D26F_11D4_A6F7_00508B6A7686_.wvu.FilterData" hidden="1">#REF!</definedName>
    <definedName name="Z_30FEE15E_D26F_11D4_A6F7_00508B6A7686_.wvu.PrintArea" localSheetId="12" hidden="1">#REF!</definedName>
    <definedName name="Z_30FEE15E_D26F_11D4_A6F7_00508B6A7686_.wvu.PrintArea" localSheetId="63" hidden="1">#REF!</definedName>
    <definedName name="Z_30FEE15E_D26F_11D4_A6F7_00508B6A7686_.wvu.PrintArea" localSheetId="29">#REF!</definedName>
    <definedName name="Z_30FEE15E_D26F_11D4_A6F7_00508B6A7686_.wvu.PrintArea" localSheetId="1" hidden="1">#REF!</definedName>
    <definedName name="Z_30FEE15E_D26F_11D4_A6F7_00508B6A7686_.wvu.PrintArea" localSheetId="0" hidden="1">#REF!</definedName>
    <definedName name="Z_30FEE15E_D26F_11D4_A6F7_00508B6A7686_.wvu.PrintArea" localSheetId="21" hidden="1">#REF!</definedName>
    <definedName name="Z_30FEE15E_D26F_11D4_A6F7_00508B6A7686_.wvu.PrintArea" localSheetId="6" hidden="1">#REF!</definedName>
    <definedName name="Z_30FEE15E_D26F_11D4_A6F7_00508B6A7686_.wvu.PrintArea" localSheetId="13" hidden="1">#REF!</definedName>
    <definedName name="Z_30FEE15E_D26F_11D4_A6F7_00508B6A7686_.wvu.PrintArea" localSheetId="9" hidden="1">#REF!</definedName>
    <definedName name="Z_30FEE15E_D26F_11D4_A6F7_00508B6A7686_.wvu.PrintArea" localSheetId="11" hidden="1">#REF!</definedName>
    <definedName name="Z_30FEE15E_D26F_11D4_A6F7_00508B6A7686_.wvu.PrintArea" localSheetId="16" hidden="1">#REF!</definedName>
    <definedName name="Z_30FEE15E_D26F_11D4_A6F7_00508B6A7686_.wvu.PrintArea" localSheetId="19" hidden="1">#REF!</definedName>
    <definedName name="Z_30FEE15E_D26F_11D4_A6F7_00508B6A7686_.wvu.PrintArea" hidden="1">#REF!</definedName>
    <definedName name="Z_30FEE15E_D26F_11D4_A6F7_00508B6A7686_.wvu.PrintTitles" localSheetId="12" hidden="1">#REF!</definedName>
    <definedName name="Z_30FEE15E_D26F_11D4_A6F7_00508B6A7686_.wvu.PrintTitles" localSheetId="63" hidden="1">#REF!</definedName>
    <definedName name="Z_30FEE15E_D26F_11D4_A6F7_00508B6A7686_.wvu.PrintTitles" localSheetId="29">#REF!</definedName>
    <definedName name="Z_30FEE15E_D26F_11D4_A6F7_00508B6A7686_.wvu.PrintTitles" localSheetId="1" hidden="1">#REF!</definedName>
    <definedName name="Z_30FEE15E_D26F_11D4_A6F7_00508B6A7686_.wvu.PrintTitles" localSheetId="0" hidden="1">#REF!</definedName>
    <definedName name="Z_30FEE15E_D26F_11D4_A6F7_00508B6A7686_.wvu.PrintTitles" localSheetId="21" hidden="1">#REF!</definedName>
    <definedName name="Z_30FEE15E_D26F_11D4_A6F7_00508B6A7686_.wvu.PrintTitles" localSheetId="6" hidden="1">#REF!</definedName>
    <definedName name="Z_30FEE15E_D26F_11D4_A6F7_00508B6A7686_.wvu.PrintTitles" localSheetId="13" hidden="1">#REF!</definedName>
    <definedName name="Z_30FEE15E_D26F_11D4_A6F7_00508B6A7686_.wvu.PrintTitles" localSheetId="9" hidden="1">#REF!</definedName>
    <definedName name="Z_30FEE15E_D26F_11D4_A6F7_00508B6A7686_.wvu.PrintTitles" localSheetId="11" hidden="1">#REF!</definedName>
    <definedName name="Z_30FEE15E_D26F_11D4_A6F7_00508B6A7686_.wvu.PrintTitles" localSheetId="16" hidden="1">#REF!</definedName>
    <definedName name="Z_30FEE15E_D26F_11D4_A6F7_00508B6A7686_.wvu.PrintTitles" localSheetId="19" hidden="1">#REF!</definedName>
    <definedName name="Z_30FEE15E_D26F_11D4_A6F7_00508B6A7686_.wvu.PrintTitles" hidden="1">#REF!</definedName>
    <definedName name="Z_30FEE15E_D26F_11D4_A6F7_00508B6A7686_.wvu.Rows" localSheetId="12" hidden="1">#REF!</definedName>
    <definedName name="Z_30FEE15E_D26F_11D4_A6F7_00508B6A7686_.wvu.Rows" localSheetId="63" hidden="1">#REF!</definedName>
    <definedName name="Z_30FEE15E_D26F_11D4_A6F7_00508B6A7686_.wvu.Rows" localSheetId="29">#REF!</definedName>
    <definedName name="Z_30FEE15E_D26F_11D4_A6F7_00508B6A7686_.wvu.Rows" localSheetId="1" hidden="1">#REF!</definedName>
    <definedName name="Z_30FEE15E_D26F_11D4_A6F7_00508B6A7686_.wvu.Rows" localSheetId="0" hidden="1">#REF!</definedName>
    <definedName name="Z_30FEE15E_D26F_11D4_A6F7_00508B6A7686_.wvu.Rows" localSheetId="21" hidden="1">#REF!</definedName>
    <definedName name="Z_30FEE15E_D26F_11D4_A6F7_00508B6A7686_.wvu.Rows" localSheetId="6" hidden="1">#REF!</definedName>
    <definedName name="Z_30FEE15E_D26F_11D4_A6F7_00508B6A7686_.wvu.Rows" localSheetId="13" hidden="1">#REF!</definedName>
    <definedName name="Z_30FEE15E_D26F_11D4_A6F7_00508B6A7686_.wvu.Rows" localSheetId="9" hidden="1">#REF!</definedName>
    <definedName name="Z_30FEE15E_D26F_11D4_A6F7_00508B6A7686_.wvu.Rows" localSheetId="11" hidden="1">#REF!</definedName>
    <definedName name="Z_30FEE15E_D26F_11D4_A6F7_00508B6A7686_.wvu.Rows" localSheetId="16" hidden="1">#REF!</definedName>
    <definedName name="Z_30FEE15E_D26F_11D4_A6F7_00508B6A7686_.wvu.Rows" localSheetId="19" hidden="1">#REF!</definedName>
    <definedName name="Z_30FEE15E_D26F_11D4_A6F7_00508B6A7686_.wvu.Rows" hidden="1">#REF!</definedName>
    <definedName name="zt_1a" localSheetId="0">#REF!</definedName>
    <definedName name="zt_1a" localSheetId="16">#REF!</definedName>
    <definedName name="zt_1a">#REF!</definedName>
    <definedName name="zt_1a_1">NA()</definedName>
    <definedName name="zt_1a_2">NA()</definedName>
    <definedName name="zt_1a_3">NA()</definedName>
    <definedName name="zt_1a_4">NA()</definedName>
    <definedName name="zt_1a_5">NA()</definedName>
    <definedName name="zt_1a_6">NA()</definedName>
    <definedName name="zt2_1">NA()</definedName>
    <definedName name="zt2_2">NA()</definedName>
    <definedName name="zt2_3">NA()</definedName>
    <definedName name="zt2_4">NA()</definedName>
    <definedName name="zt2_5">NA()</definedName>
    <definedName name="zt2_6">NA()</definedName>
    <definedName name="zt2a" localSheetId="0">#REF!</definedName>
    <definedName name="zt2a" localSheetId="16">#REF!</definedName>
    <definedName name="zt2a">#REF!</definedName>
    <definedName name="zt2a_1">NA()</definedName>
    <definedName name="zt2a_2">NA()</definedName>
    <definedName name="zt2a_3">NA()</definedName>
    <definedName name="zt2a_4">NA()</definedName>
    <definedName name="zt2a_5">NA()</definedName>
    <definedName name="zt2a_6">NA()</definedName>
    <definedName name="zt3_1" localSheetId="0">#REF!</definedName>
    <definedName name="zt3_1" localSheetId="16">#REF!</definedName>
    <definedName name="zt3_1">#REF!</definedName>
    <definedName name="zt3_1_1">NA()</definedName>
    <definedName name="zt3_1_1_1">NA()</definedName>
    <definedName name="zt3_1_2">NA()</definedName>
    <definedName name="zt3_1_3">NA()</definedName>
    <definedName name="zt3_1_4">NA()</definedName>
    <definedName name="zt3_1_5">NA()</definedName>
    <definedName name="zt3_1_6">NA()</definedName>
    <definedName name="zt3_2" localSheetId="0">#REF!</definedName>
    <definedName name="zt3_2" localSheetId="16">#REF!</definedName>
    <definedName name="zt3_2">#REF!</definedName>
    <definedName name="zt3_2_1">NA()</definedName>
    <definedName name="zt3_2_1_1">NA()</definedName>
    <definedName name="zt3_2_2">NA()</definedName>
    <definedName name="zt3_2_3">NA()</definedName>
    <definedName name="zt3_2_4">NA()</definedName>
    <definedName name="zt3_2_5">NA()</definedName>
    <definedName name="zt3_2_6">NA()</definedName>
    <definedName name="zt3_3">NA()</definedName>
    <definedName name="zt3_4">NA()</definedName>
    <definedName name="zt3_5">NA()</definedName>
    <definedName name="zt3_6">NA()</definedName>
    <definedName name="zt4_1" localSheetId="0">#REF!</definedName>
    <definedName name="zt4_1" localSheetId="16">#REF!</definedName>
    <definedName name="zt4_1">#REF!</definedName>
    <definedName name="zt4_1_1">NA()</definedName>
    <definedName name="zt4_1_1_1">NA()</definedName>
    <definedName name="zt4_1_2">NA()</definedName>
    <definedName name="zt4_1_3">NA()</definedName>
    <definedName name="zt4_1_4">NA()</definedName>
    <definedName name="zt4_1_5">NA()</definedName>
    <definedName name="zt4_1_6">NA()</definedName>
    <definedName name="zt4_2">NA()</definedName>
    <definedName name="zt4_3">NA()</definedName>
    <definedName name="zt4_4">NA()</definedName>
    <definedName name="zt4_5">NA()</definedName>
    <definedName name="zt4_6">NA()</definedName>
    <definedName name="zt5_1">[1]s!$B$13</definedName>
    <definedName name="zt5_1_1">NA()</definedName>
    <definedName name="zt5_2">NA()</definedName>
    <definedName name="zt5_3">NA()</definedName>
    <definedName name="zt5_4">NA()</definedName>
    <definedName name="zt5_5">NA()</definedName>
    <definedName name="zt5_6">NA()</definedName>
    <definedName name="zt51_1">NA()</definedName>
    <definedName name="zt51_2">NA()</definedName>
    <definedName name="zt51_3">NA()</definedName>
    <definedName name="zt51_4">NA()</definedName>
    <definedName name="zt51_5">NA()</definedName>
    <definedName name="zt51_6">NA()</definedName>
    <definedName name="zt6_1">NA()</definedName>
    <definedName name="zt6_2">NA()</definedName>
    <definedName name="zt6_3">NA()</definedName>
    <definedName name="zt6_4">NA()</definedName>
    <definedName name="zt6_5">NA()</definedName>
    <definedName name="zt6_6">NA()</definedName>
    <definedName name="zt7_1">[1]s!$B$14</definedName>
    <definedName name="zt7_1_1">NA()</definedName>
    <definedName name="zt7_2">[1]s!$B$16</definedName>
    <definedName name="zt7_2_1">NA()</definedName>
    <definedName name="zt7_3" localSheetId="0">#REF!</definedName>
    <definedName name="zt7_3" localSheetId="16">#REF!</definedName>
    <definedName name="zt7_3">#REF!</definedName>
    <definedName name="zt7_3_1">NA()</definedName>
    <definedName name="zt7_3_1_1">NA()</definedName>
    <definedName name="zt7_3_2">NA()</definedName>
    <definedName name="zt7_3_3">NA()</definedName>
    <definedName name="zt7_3_4">NA()</definedName>
    <definedName name="zt7_3_5">NA()</definedName>
    <definedName name="zt7_3_6">NA()</definedName>
    <definedName name="zt7_4">NA()</definedName>
    <definedName name="zt7_5">NA()</definedName>
    <definedName name="zt7_6">NA()</definedName>
    <definedName name="zt8_1">NA()</definedName>
    <definedName name="zt8_2" localSheetId="0">#REF!</definedName>
    <definedName name="zt8_2" localSheetId="16">#REF!</definedName>
    <definedName name="zt8_2">#REF!</definedName>
    <definedName name="zt8_2_1">NA()</definedName>
    <definedName name="zt8_2_1_1">NA()</definedName>
    <definedName name="zt8_2_2">NA()</definedName>
    <definedName name="zt8_2_3">NA()</definedName>
    <definedName name="zt8_2_4">NA()</definedName>
    <definedName name="zt8_2_5">NA()</definedName>
    <definedName name="zt8_2_6">NA()</definedName>
    <definedName name="zt8_3" localSheetId="0">#REF!</definedName>
    <definedName name="zt8_3" localSheetId="16">#REF!</definedName>
    <definedName name="zt8_3">#REF!</definedName>
    <definedName name="zt8_3_1">NA()</definedName>
    <definedName name="zt8_3_1_1">NA()</definedName>
    <definedName name="zt8_3_2">NA()</definedName>
    <definedName name="zt8_3_3">NA()</definedName>
    <definedName name="zt8_3_4">NA()</definedName>
    <definedName name="zt8_3_5">NA()</definedName>
    <definedName name="zt8_3_6">NA()</definedName>
    <definedName name="zt8_4">NA()</definedName>
    <definedName name="zt8_5">NA()</definedName>
    <definedName name="zt8_6">NA()</definedName>
    <definedName name="zt9_1">[1]s!$B$6</definedName>
    <definedName name="zt9_3">[1]s!$B$8</definedName>
    <definedName name="zt9_4" localSheetId="0">#REF!</definedName>
    <definedName name="zt9_4" localSheetId="16">#REF!</definedName>
    <definedName name="zt9_4">#REF!</definedName>
    <definedName name="zt9_4_1">NA()</definedName>
    <definedName name="zt9_4_2">NA()</definedName>
    <definedName name="zt9_4_3">NA()</definedName>
    <definedName name="zt9_4_4">NA()</definedName>
    <definedName name="zt9_4_5">NA()</definedName>
    <definedName name="zt9_4_6">NA()</definedName>
    <definedName name="zt9_5">[1]s!$B$9</definedName>
    <definedName name="zt9_6">[1]s!$B$10</definedName>
    <definedName name="zt9_7">[1]s!$B$11</definedName>
    <definedName name="zto" localSheetId="0">#REF!</definedName>
    <definedName name="zto" localSheetId="16">#REF!</definedName>
    <definedName name="zto">#REF!</definedName>
    <definedName name="zto_1">NA()</definedName>
    <definedName name="zto_2">NA()</definedName>
    <definedName name="zto_3">NA()</definedName>
    <definedName name="zto_4">NA()</definedName>
    <definedName name="zto_5">NA()</definedName>
    <definedName name="zto_6">NA()</definedName>
    <definedName name="ztt5" localSheetId="0">#REF!</definedName>
    <definedName name="ztt5" localSheetId="16">#REF!</definedName>
    <definedName name="ztt5">#REF!</definedName>
    <definedName name="ztt5_1">NA()</definedName>
    <definedName name="ztt5_2">NA()</definedName>
    <definedName name="ztt5_3">NA()</definedName>
    <definedName name="ztt5_4">NA()</definedName>
    <definedName name="ztt5_5">NA()</definedName>
    <definedName name="ztt5_6">NA()</definedName>
    <definedName name="zzt1" localSheetId="0">#REF!</definedName>
    <definedName name="zzt1" localSheetId="16">#REF!</definedName>
    <definedName name="zzt1">#REF!</definedName>
    <definedName name="zzt1_1">NA()</definedName>
    <definedName name="zzt1_2">NA()</definedName>
    <definedName name="zzt1_3">NA()</definedName>
    <definedName name="zzt1_4">NA()</definedName>
    <definedName name="zzt1_5">NA()</definedName>
    <definedName name="zzt1_6">NA()</definedName>
    <definedName name="апппп">#REF!</definedName>
    <definedName name="всп." localSheetId="40" hidden="1">{"Прибыль инстр",#N/A,FALSE,"Инстр"}</definedName>
    <definedName name="всп." localSheetId="63" hidden="1">{"Прибыль инстр",#N/A,FALSE,"Инстр"}</definedName>
    <definedName name="всп." localSheetId="29">{"Прибыль инстр",#N/A,FALSE,"Инстр"}</definedName>
    <definedName name="всп." localSheetId="30" hidden="1">{"Прибыль инстр",#N/A,FALSE,"Инстр"}</definedName>
    <definedName name="всп." localSheetId="1" hidden="1">{"Прибыль инстр",#N/A,FALSE,"Инстр"}</definedName>
    <definedName name="всп." localSheetId="53" hidden="1">{"Прибыль инстр",#N/A,FALSE,"Инстр"}</definedName>
    <definedName name="всп." localSheetId="60" hidden="1">{"Прибыль инстр",#N/A,FALSE,"Инстр"}</definedName>
    <definedName name="всп." localSheetId="19" hidden="1">{"Прибыль инстр",#N/A,FALSE,"Инстр"}</definedName>
    <definedName name="всп." hidden="1">{"Прибыль инстр",#N/A,FALSE,"Инстр"}</definedName>
    <definedName name="город.сети" localSheetId="40" hidden="1">{#N/A,#N/A,FALSE,"общепр.расх"}</definedName>
    <definedName name="город.сети" localSheetId="63" hidden="1">{#N/A,#N/A,FALSE,"общепр.расх"}</definedName>
    <definedName name="город.сети" localSheetId="29">{#N/A,#N/A,FALSE,"общепр.расх"}</definedName>
    <definedName name="город.сети" localSheetId="30" hidden="1">{#N/A,#N/A,FALSE,"общепр.расх"}</definedName>
    <definedName name="город.сети" localSheetId="1" hidden="1">{#N/A,#N/A,FALSE,"общепр.расх"}</definedName>
    <definedName name="город.сети" localSheetId="53" hidden="1">{#N/A,#N/A,FALSE,"общепр.расх"}</definedName>
    <definedName name="город.сети" localSheetId="60" hidden="1">{#N/A,#N/A,FALSE,"общепр.расх"}</definedName>
    <definedName name="город.сети" localSheetId="19" hidden="1">{#N/A,#N/A,FALSE,"общепр.расх"}</definedName>
    <definedName name="город.сети" hidden="1">{#N/A,#N/A,FALSE,"общепр.расх"}</definedName>
    <definedName name="дол">[6]ЗАПОЛНЕНИЕ!$C$3</definedName>
    <definedName name="должность">'[7]ввод данных'!$C$4</definedName>
    <definedName name="ЁЁЁ" localSheetId="0">#REF!</definedName>
    <definedName name="ЁЁЁ" localSheetId="16">#REF!</definedName>
    <definedName name="ЁЁЁ">#REF!</definedName>
    <definedName name="ЁЁЁ_1">NA()</definedName>
    <definedName name="ЁЁЁ_2">NA()</definedName>
    <definedName name="ЁЁЁ_3">NA()</definedName>
    <definedName name="ЁЁЁ_4">NA()</definedName>
    <definedName name="ЁЁЁ_5">NA()</definedName>
    <definedName name="ЁЁЁ_6">NA()</definedName>
    <definedName name="жжж" hidden="1">{"Прибыль механ",#N/A,FALSE,"Механ"}</definedName>
    <definedName name="_xlnm.Print_Titles" localSheetId="17">'НВВ Расшифровка'!$5:$6</definedName>
    <definedName name="_xlnm.Print_Titles" localSheetId="60">'орг. Корр-ка НВВ 2014г.'!$5:$6</definedName>
    <definedName name="_xlnm.Print_Titles" localSheetId="51">'П1.30 - 07.06.11г.'!$6:$7</definedName>
    <definedName name="_xlnm.Print_Titles" localSheetId="6">'П1.30 -2020г., 1 и 2 п-е'!$6:$8</definedName>
    <definedName name="_xlnm.Print_Titles" localSheetId="59">'Прилож.2 структура 2011г.-2012г'!$7:$10</definedName>
    <definedName name="_xlnm.Print_Titles" localSheetId="10">'РСЭО факт за 2012г.'!$4:$5</definedName>
    <definedName name="_xlnm.Print_Titles" localSheetId="11">'Услуги стор.орг..-2013г. '!$4:$5</definedName>
    <definedName name="_xlnm.Print_Titles" localSheetId="16">'Услуги стор.орг..-2014г. (2)'!$4:$4</definedName>
    <definedName name="_xlnm.Print_Titles" localSheetId="15">'Услуги стор.орг..-2018-2020гг.'!$5:$5</definedName>
    <definedName name="_xlnm.Print_Titles" localSheetId="19">'ФЗП  эл.эн.2014г. 2452'!$A:$B,'ФЗП  эл.эн.2014г. 2452'!$5:$7</definedName>
    <definedName name="ЗАД" localSheetId="40" hidden="1">{"Прибыль",#N/A,FALSE,"Литейн"}</definedName>
    <definedName name="ЗАД" localSheetId="63" hidden="1">{"Прибыль",#N/A,FALSE,"Литейн"}</definedName>
    <definedName name="ЗАД" localSheetId="29">{"Прибыль",#N/A,FALSE,"Литейн"}</definedName>
    <definedName name="ЗАД" localSheetId="30" hidden="1">{"Прибыль",#N/A,FALSE,"Литейн"}</definedName>
    <definedName name="ЗАД" localSheetId="1" hidden="1">{"Прибыль",#N/A,FALSE,"Литейн"}</definedName>
    <definedName name="ЗАД" localSheetId="53" hidden="1">{"Прибыль",#N/A,FALSE,"Литейн"}</definedName>
    <definedName name="ЗАД" localSheetId="60" hidden="1">{"Прибыль",#N/A,FALSE,"Литейн"}</definedName>
    <definedName name="ЗАД" localSheetId="19" hidden="1">{"Прибыль",#N/A,FALSE,"Литейн"}</definedName>
    <definedName name="ЗАД" hidden="1">{"Прибыль",#N/A,FALSE,"Литейн"}</definedName>
    <definedName name="им" localSheetId="40" hidden="1">{"Приибыль энерг",#N/A,FALSE,"Энерг"}</definedName>
    <definedName name="им" localSheetId="63" hidden="1">{"Приибыль энерг",#N/A,FALSE,"Энерг"}</definedName>
    <definedName name="им" localSheetId="29">{"Приибыль энерг",#N/A,FALSE,"Энерг"}</definedName>
    <definedName name="им" localSheetId="30" hidden="1">{"Приибыль энерг",#N/A,FALSE,"Энерг"}</definedName>
    <definedName name="им" localSheetId="1" hidden="1">{"Приибыль энерг",#N/A,FALSE,"Энерг"}</definedName>
    <definedName name="им" localSheetId="53" hidden="1">{"Приибыль энерг",#N/A,FALSE,"Энерг"}</definedName>
    <definedName name="им" localSheetId="60" hidden="1">{"Приибыль энерг",#N/A,FALSE,"Энерг"}</definedName>
    <definedName name="им" localSheetId="19" hidden="1">{"Приибыль энерг",#N/A,FALSE,"Энерг"}</definedName>
    <definedName name="им" hidden="1">{"Приибыль энерг",#N/A,FALSE,"Энерг"}</definedName>
    <definedName name="исп">[6]ЗАПОЛНЕНИЕ!$I$2</definedName>
    <definedName name="исполнитель">'[7]ввод данных'!$C$3</definedName>
    <definedName name="_xlnm.Print_Area" localSheetId="26">'1тсо кроме мрск'!$A$1:$F$78</definedName>
    <definedName name="_xlnm.Print_Area" localSheetId="28">'2016 тсо кроме мрск'!$A$1:$F$78</definedName>
    <definedName name="_xlnm.Print_Area" localSheetId="29">'2016 тсо НК Энергосб'!$A$1:$F$78</definedName>
    <definedName name="_xlnm.Print_Area" localSheetId="27">'2тсо кроме мрск'!$A$1:$F$78</definedName>
    <definedName name="_xlnm.Print_Area" localSheetId="4">'Баланс электроэнергии'!$A$1:$L$34</definedName>
    <definedName name="_xlnm.Print_Area" localSheetId="1">'Выпад.дох.за 2015г.в тар.2017'!$A$1:$S$49</definedName>
    <definedName name="_xlnm.Print_Area" localSheetId="31">'НВВ на содержание 2012г.'!$A$1:$G$86</definedName>
    <definedName name="_xlnm.Print_Area" localSheetId="17">'НВВ Расшифровка'!$A$1:$E$68</definedName>
    <definedName name="_xlnm.Print_Area" localSheetId="8">'НК Энерго 2020 год'!$A$1:$F$50</definedName>
    <definedName name="_xlnm.Print_Area" localSheetId="60">'орг. Корр-ка НВВ 2014г.'!$A$1:$M$73</definedName>
    <definedName name="_xlnm.Print_Area" localSheetId="0">#REF!</definedName>
    <definedName name="_xlnm.Print_Area" localSheetId="6">'П1.30 -2020г., 1 и 2 п-е'!$A$1:$V$286</definedName>
    <definedName name="_xlnm.Print_Area" localSheetId="59">'Прилож.2 структура 2011г.-2012г'!$A$1:$L$66</definedName>
    <definedName name="_xlnm.Print_Area" localSheetId="7">'тсо 2020 год'!$A$1:$F$50</definedName>
    <definedName name="_xlnm.Print_Area" localSheetId="16">'Услуги стор.орг..-2014г. (2)'!$A$1:$G$36</definedName>
    <definedName name="_xlnm.Print_Area" localSheetId="15">'Услуги стор.орг..-2018-2020гг.'!$A$1:$G$41</definedName>
    <definedName name="_xlnm.Print_Area" localSheetId="19">'ФЗП  эл.эн.2014г. 2452'!$A$1:$Z$54</definedName>
    <definedName name="_xlnm.Print_Area" localSheetId="24">'ФОТ 2019г. свод 2452'!$A$1:$Q$33</definedName>
    <definedName name="_xlnm.Print_Area">#REF!</definedName>
    <definedName name="орг">[6]ЗАПОЛНЕНИЕ!$C$2</definedName>
    <definedName name="Организация">'[8]ввод данных'!$C$2</definedName>
    <definedName name="ос">[6]ЗАПОЛНЕНИЕ!$C$272:$C$283</definedName>
    <definedName name="ппп" localSheetId="40" hidden="1">{"Прибыль пресс",#N/A,FALSE,"Прессов"}</definedName>
    <definedName name="ппп" localSheetId="63" hidden="1">{"Прибыль пресс",#N/A,FALSE,"Прессов"}</definedName>
    <definedName name="ппп" localSheetId="29">{"Прибыль пресс",#N/A,FALSE,"Прессов"}</definedName>
    <definedName name="ппп" localSheetId="30" hidden="1">{"Прибыль пресс",#N/A,FALSE,"Прессов"}</definedName>
    <definedName name="ппп" localSheetId="1" hidden="1">{"Прибыль пресс",#N/A,FALSE,"Прессов"}</definedName>
    <definedName name="ппп" localSheetId="53" hidden="1">{"Прибыль пресс",#N/A,FALSE,"Прессов"}</definedName>
    <definedName name="ппп" localSheetId="60" hidden="1">{"Прибыль пресс",#N/A,FALSE,"Прессов"}</definedName>
    <definedName name="ппп" localSheetId="19" hidden="1">{"Прибыль пресс",#N/A,FALSE,"Прессов"}</definedName>
    <definedName name="ппп" hidden="1">{"Прибыль пресс",#N/A,FALSE,"Прессов"}</definedName>
    <definedName name="про" localSheetId="0">#REF!</definedName>
    <definedName name="про" localSheetId="16">#REF!</definedName>
    <definedName name="про">#REF!</definedName>
    <definedName name="про_1">NA()</definedName>
    <definedName name="про_2">NA()</definedName>
    <definedName name="про_3">NA()</definedName>
    <definedName name="про_4">NA()</definedName>
    <definedName name="про_5">NA()</definedName>
    <definedName name="про_6">NA()</definedName>
    <definedName name="рп" localSheetId="0">#REF!</definedName>
    <definedName name="рп" localSheetId="16">#REF!</definedName>
    <definedName name="рп">#REF!</definedName>
    <definedName name="рп_1">NA()</definedName>
    <definedName name="рп_2">NA()</definedName>
    <definedName name="рп_3">NA()</definedName>
    <definedName name="рп_4">NA()</definedName>
    <definedName name="рп_5">NA()</definedName>
    <definedName name="рп_6">NA()</definedName>
    <definedName name="т3.1">'[6]3.1'!#REF!</definedName>
    <definedName name="тел">[6]ЗАПОЛНЕНИЕ!$I$3</definedName>
    <definedName name="ТТТ" localSheetId="63" hidden="1">{#N/A,#N/A,FALSE,"общепр.расх"}</definedName>
    <definedName name="ТТТ" hidden="1">{#N/A,#N/A,FALSE,"общепр.расх"}</definedName>
    <definedName name="тттт" localSheetId="16">#REF!</definedName>
    <definedName name="тттт">#REF!</definedName>
    <definedName name="Услуги" localSheetId="40" hidden="1">{#N/A,#N/A,FALSE,"общепр.расх"}</definedName>
    <definedName name="Услуги" localSheetId="63" hidden="1">{#N/A,#N/A,FALSE,"общепр.расх"}</definedName>
    <definedName name="Услуги" localSheetId="29">{#N/A,#N/A,FALSE,"общепр.расх"}</definedName>
    <definedName name="Услуги" localSheetId="30" hidden="1">{#N/A,#N/A,FALSE,"общепр.расх"}</definedName>
    <definedName name="Услуги" localSheetId="1" hidden="1">{#N/A,#N/A,FALSE,"общепр.расх"}</definedName>
    <definedName name="Услуги" localSheetId="53" hidden="1">{#N/A,#N/A,FALSE,"общепр.расх"}</definedName>
    <definedName name="Услуги" localSheetId="60" hidden="1">{#N/A,#N/A,FALSE,"общепр.расх"}</definedName>
    <definedName name="Услуги" localSheetId="19" hidden="1">{#N/A,#N/A,FALSE,"общепр.расх"}</definedName>
    <definedName name="Услуги" hidden="1">{#N/A,#N/A,FALSE,"общепр.расх"}</definedName>
    <definedName name="фио">[9]расчет!$N$11</definedName>
    <definedName name="цех.себ." localSheetId="40" hidden="1">{#N/A,#N/A,FALSE,"общепр.расх"}</definedName>
    <definedName name="цех.себ." localSheetId="63" hidden="1">{#N/A,#N/A,FALSE,"общепр.расх"}</definedName>
    <definedName name="цех.себ." localSheetId="29">{#N/A,#N/A,FALSE,"общепр.расх"}</definedName>
    <definedName name="цех.себ." localSheetId="30" hidden="1">{#N/A,#N/A,FALSE,"общепр.расх"}</definedName>
    <definedName name="цех.себ." localSheetId="1" hidden="1">{#N/A,#N/A,FALSE,"общепр.расх"}</definedName>
    <definedName name="цех.себ." localSheetId="53" hidden="1">{#N/A,#N/A,FALSE,"общепр.расх"}</definedName>
    <definedName name="цех.себ." localSheetId="60" hidden="1">{#N/A,#N/A,FALSE,"общепр.расх"}</definedName>
    <definedName name="цех.себ." localSheetId="19" hidden="1">{#N/A,#N/A,FALSE,"общепр.расх"}</definedName>
    <definedName name="цех.себ." hidden="1">{#N/A,#N/A,FALSE,"общепр.расх"}</definedName>
    <definedName name="ьтьтьтьт">#REF!</definedName>
  </definedNames>
  <calcPr calcId="145621"/>
</workbook>
</file>

<file path=xl/calcChain.xml><?xml version="1.0" encoding="utf-8"?>
<calcChain xmlns="http://schemas.openxmlformats.org/spreadsheetml/2006/main">
  <c r="K38" i="145" l="1"/>
  <c r="C36" i="145"/>
  <c r="F15" i="145" l="1"/>
  <c r="F18" i="145"/>
  <c r="F11" i="145" l="1"/>
  <c r="F16" i="145"/>
  <c r="F9" i="145"/>
  <c r="F14" i="145"/>
  <c r="F13" i="145"/>
  <c r="F12" i="145"/>
  <c r="F20" i="145"/>
  <c r="F8" i="145"/>
  <c r="F30" i="145" l="1"/>
  <c r="I30" i="181"/>
  <c r="A24" i="181"/>
  <c r="F23" i="181"/>
  <c r="G23" i="181" s="1"/>
  <c r="E23" i="181"/>
  <c r="K21" i="181"/>
  <c r="F18" i="181"/>
  <c r="A15" i="181"/>
  <c r="A16" i="181" s="1"/>
  <c r="A17" i="181" s="1"/>
  <c r="A18" i="181" s="1"/>
  <c r="A20" i="181" s="1"/>
  <c r="G14" i="181"/>
  <c r="F14" i="181"/>
  <c r="F25" i="181" s="1"/>
  <c r="K25" i="181" s="1"/>
  <c r="I13" i="181"/>
  <c r="F10" i="181"/>
  <c r="F9" i="181"/>
  <c r="F8" i="181"/>
  <c r="G8" i="181" s="1"/>
  <c r="A8" i="181"/>
  <c r="A9" i="181" s="1"/>
  <c r="A10" i="181" s="1"/>
  <c r="F7" i="181"/>
  <c r="G7" i="181" s="1"/>
  <c r="A7" i="181"/>
  <c r="F6" i="181"/>
  <c r="G6" i="181" s="1"/>
  <c r="I4" i="181"/>
  <c r="J20" i="181" l="1"/>
  <c r="F26" i="181"/>
  <c r="Q29" i="149"/>
  <c r="H26" i="176"/>
  <c r="Q20" i="149"/>
  <c r="Q18" i="149"/>
  <c r="Q17" i="149"/>
  <c r="Q12" i="149"/>
  <c r="R12" i="149"/>
  <c r="P20" i="149"/>
  <c r="R21" i="149"/>
  <c r="Q21" i="149"/>
  <c r="Q14" i="149"/>
  <c r="T13" i="149"/>
  <c r="S16" i="149"/>
  <c r="S13" i="149"/>
  <c r="Q13" i="149"/>
  <c r="Q30" i="149" l="1"/>
  <c r="Q31" i="149" s="1"/>
  <c r="R16" i="149"/>
  <c r="G15" i="149" l="1"/>
  <c r="G11" i="149"/>
  <c r="G9" i="149"/>
  <c r="E21" i="176"/>
  <c r="E20" i="176"/>
  <c r="G18" i="176"/>
  <c r="D18" i="176"/>
  <c r="C18" i="176"/>
  <c r="N32" i="176" s="1"/>
  <c r="E17" i="176"/>
  <c r="I17" i="176" s="1"/>
  <c r="E16" i="176"/>
  <c r="D22" i="176"/>
  <c r="N36" i="176"/>
  <c r="N30" i="176"/>
  <c r="G22" i="176"/>
  <c r="N20" i="176"/>
  <c r="L22" i="176"/>
  <c r="I20" i="176"/>
  <c r="N19" i="176"/>
  <c r="J19" i="176"/>
  <c r="P18" i="176"/>
  <c r="N18" i="176"/>
  <c r="P22" i="176" s="1"/>
  <c r="J17" i="176"/>
  <c r="J16" i="176"/>
  <c r="J18" i="176" s="1"/>
  <c r="I16" i="176"/>
  <c r="I18" i="176" l="1"/>
  <c r="L20" i="176"/>
  <c r="E18" i="176"/>
  <c r="G24" i="149"/>
  <c r="G26" i="149"/>
  <c r="N22" i="176"/>
  <c r="I21" i="176"/>
  <c r="I22" i="176" s="1"/>
  <c r="N23" i="176" s="1"/>
  <c r="N34" i="176"/>
  <c r="N38" i="176" s="1"/>
  <c r="Q18" i="176"/>
  <c r="C22" i="176"/>
  <c r="E22" i="176" s="1"/>
  <c r="E28" i="145"/>
  <c r="K93" i="174"/>
  <c r="K91" i="174"/>
  <c r="J91" i="174"/>
  <c r="E91" i="174"/>
  <c r="E92" i="174" s="1"/>
  <c r="C91" i="174"/>
  <c r="C92" i="174" s="1"/>
  <c r="E90" i="174"/>
  <c r="C90" i="174"/>
  <c r="T87" i="174" s="1"/>
  <c r="I82" i="174"/>
  <c r="F82" i="174"/>
  <c r="K66" i="174"/>
  <c r="L61" i="174"/>
  <c r="K61" i="174"/>
  <c r="L56" i="174"/>
  <c r="K56" i="174"/>
  <c r="L54" i="174"/>
  <c r="K54" i="174"/>
  <c r="L52" i="174"/>
  <c r="K52" i="174"/>
  <c r="K51" i="174"/>
  <c r="L49" i="174"/>
  <c r="K49" i="174"/>
  <c r="L48" i="174"/>
  <c r="K48" i="174"/>
  <c r="L44" i="174"/>
  <c r="K44" i="174"/>
  <c r="I30" i="174"/>
  <c r="K84" i="174" s="1"/>
  <c r="F30" i="174"/>
  <c r="J29" i="174"/>
  <c r="J28" i="174"/>
  <c r="J27" i="174"/>
  <c r="J17" i="174"/>
  <c r="J12" i="174"/>
  <c r="K12" i="174" s="1"/>
  <c r="T92" i="174" l="1"/>
  <c r="F87" i="174"/>
  <c r="G94" i="174" s="1"/>
  <c r="F96" i="174" s="1"/>
  <c r="T91" i="174"/>
  <c r="F36" i="174"/>
  <c r="F91" i="174"/>
  <c r="F47" i="173"/>
  <c r="G47" i="173" s="1"/>
  <c r="G46" i="173"/>
  <c r="G45" i="173"/>
  <c r="G44" i="173"/>
  <c r="F40" i="173"/>
  <c r="G40" i="173" s="1"/>
  <c r="G39" i="173"/>
  <c r="G38" i="173"/>
  <c r="G34" i="173"/>
  <c r="G32" i="173"/>
  <c r="F30" i="173"/>
  <c r="G30" i="173" s="1"/>
  <c r="G22" i="173"/>
  <c r="F22" i="173"/>
  <c r="G21" i="173"/>
  <c r="G20" i="173"/>
  <c r="G19" i="173"/>
  <c r="G14" i="173"/>
  <c r="G13" i="173"/>
  <c r="G12" i="173"/>
  <c r="G49" i="173" s="1"/>
  <c r="B7" i="173"/>
  <c r="C7" i="173" s="1"/>
  <c r="D7" i="173" s="1"/>
  <c r="E7" i="173" s="1"/>
  <c r="F7" i="173" s="1"/>
  <c r="F48" i="172"/>
  <c r="G48" i="172" s="1"/>
  <c r="F47" i="172"/>
  <c r="G47" i="172" s="1"/>
  <c r="G46" i="172"/>
  <c r="K43" i="172"/>
  <c r="G43" i="172"/>
  <c r="F43" i="172"/>
  <c r="G41" i="172"/>
  <c r="G40" i="172"/>
  <c r="G37" i="172"/>
  <c r="G36" i="172"/>
  <c r="G27" i="172"/>
  <c r="G24" i="172"/>
  <c r="C12" i="172"/>
  <c r="D12" i="172" s="1"/>
  <c r="E12" i="172" s="1"/>
  <c r="F12" i="172" s="1"/>
  <c r="B12" i="172"/>
  <c r="L9" i="172"/>
  <c r="L3" i="172"/>
  <c r="G44" i="172" l="1"/>
  <c r="K51" i="173"/>
  <c r="G33" i="172"/>
  <c r="L4" i="172"/>
  <c r="F100" i="174"/>
  <c r="D38" i="174"/>
  <c r="F101" i="174" s="1"/>
  <c r="F92" i="174"/>
  <c r="L2" i="172"/>
  <c r="G49" i="172"/>
  <c r="L5" i="172" s="1"/>
  <c r="J48" i="173"/>
  <c r="G50" i="173"/>
  <c r="J51" i="173" s="1"/>
  <c r="J49" i="172" l="1"/>
  <c r="L1" i="172"/>
  <c r="M3" i="172" s="1"/>
  <c r="D30" i="176"/>
  <c r="C29" i="176"/>
  <c r="C30" i="176"/>
  <c r="D29" i="176"/>
  <c r="L7" i="172"/>
  <c r="M4" i="172"/>
  <c r="M5" i="172" l="1"/>
  <c r="M2" i="172"/>
  <c r="D65" i="138"/>
  <c r="A64" i="138"/>
  <c r="A63" i="138"/>
  <c r="B61" i="138"/>
  <c r="F60" i="138"/>
  <c r="C60" i="138"/>
  <c r="B60" i="138" s="1"/>
  <c r="B58" i="138"/>
  <c r="F57" i="138"/>
  <c r="E57" i="138"/>
  <c r="B57" i="138" s="1"/>
  <c r="B55" i="138"/>
  <c r="F54" i="138"/>
  <c r="E54" i="138"/>
  <c r="B54" i="138" s="1"/>
  <c r="K51" i="138"/>
  <c r="F51" i="138"/>
  <c r="E51" i="138"/>
  <c r="B51" i="138" s="1"/>
  <c r="F50" i="138"/>
  <c r="G51" i="138" s="1"/>
  <c r="B48" i="138"/>
  <c r="F47" i="138"/>
  <c r="B47" i="138" s="1"/>
  <c r="B45" i="138"/>
  <c r="F44" i="138"/>
  <c r="B44" i="138"/>
  <c r="F41" i="138"/>
  <c r="B41" i="138"/>
  <c r="K31" i="138"/>
  <c r="G31" i="138"/>
  <c r="J29" i="138"/>
  <c r="G29" i="138"/>
  <c r="F28" i="138"/>
  <c r="E28" i="138"/>
  <c r="B28" i="138" s="1"/>
  <c r="F27" i="138"/>
  <c r="F25" i="138"/>
  <c r="F21" i="138" s="1"/>
  <c r="E25" i="138"/>
  <c r="F24" i="138"/>
  <c r="K21" i="138"/>
  <c r="F20" i="138"/>
  <c r="F9" i="138" s="1"/>
  <c r="J19" i="138"/>
  <c r="K18" i="138"/>
  <c r="G18" i="138"/>
  <c r="K14" i="138"/>
  <c r="F14" i="138"/>
  <c r="B14" i="138" s="1"/>
  <c r="F13" i="138"/>
  <c r="G14" i="138" s="1"/>
  <c r="E13" i="138"/>
  <c r="C13" i="138"/>
  <c r="B13" i="138" s="1"/>
  <c r="C10" i="138"/>
  <c r="A2" i="138"/>
  <c r="B61" i="137"/>
  <c r="F60" i="137"/>
  <c r="C60" i="137"/>
  <c r="B60" i="137"/>
  <c r="B58" i="137"/>
  <c r="F57" i="137"/>
  <c r="E57" i="137"/>
  <c r="B57" i="137"/>
  <c r="B55" i="137"/>
  <c r="F54" i="137"/>
  <c r="E54" i="137"/>
  <c r="B54" i="137"/>
  <c r="K51" i="137"/>
  <c r="F51" i="137"/>
  <c r="E51" i="137"/>
  <c r="F50" i="137"/>
  <c r="G51" i="137" s="1"/>
  <c r="E50" i="137"/>
  <c r="B48" i="137"/>
  <c r="F47" i="137"/>
  <c r="B47" i="137" s="1"/>
  <c r="B45" i="137"/>
  <c r="F44" i="137"/>
  <c r="F24" i="137" s="1"/>
  <c r="F20" i="137" s="1"/>
  <c r="F41" i="137"/>
  <c r="B41" i="137" s="1"/>
  <c r="K31" i="137"/>
  <c r="G31" i="137"/>
  <c r="J29" i="137"/>
  <c r="F28" i="137"/>
  <c r="F21" i="137" s="1"/>
  <c r="F10" i="137" s="1"/>
  <c r="E28" i="137"/>
  <c r="F27" i="137"/>
  <c r="B27" i="137" s="1"/>
  <c r="E27" i="137"/>
  <c r="F25" i="137"/>
  <c r="E25" i="137"/>
  <c r="B25" i="137" s="1"/>
  <c r="E24" i="137"/>
  <c r="K21" i="137"/>
  <c r="E20" i="137"/>
  <c r="E9" i="137" s="1"/>
  <c r="J19" i="137"/>
  <c r="K18" i="137"/>
  <c r="G18" i="137"/>
  <c r="K14" i="137"/>
  <c r="F14" i="137"/>
  <c r="B14" i="137" s="1"/>
  <c r="F13" i="137"/>
  <c r="G14" i="137" s="1"/>
  <c r="E13" i="137"/>
  <c r="C13" i="137"/>
  <c r="C9" i="137" s="1"/>
  <c r="C10" i="137"/>
  <c r="G21" i="137" l="1"/>
  <c r="B24" i="137"/>
  <c r="B13" i="137"/>
  <c r="B28" i="137"/>
  <c r="B44" i="137"/>
  <c r="B51" i="137"/>
  <c r="C9" i="138"/>
  <c r="E21" i="138"/>
  <c r="E24" i="138"/>
  <c r="E21" i="137"/>
  <c r="B50" i="137"/>
  <c r="F10" i="138"/>
  <c r="E27" i="138"/>
  <c r="B27" i="138" s="1"/>
  <c r="E50" i="138"/>
  <c r="B50" i="138" s="1"/>
  <c r="G29" i="137"/>
  <c r="B25" i="138"/>
  <c r="C31" i="176"/>
  <c r="D31" i="176"/>
  <c r="G21" i="138"/>
  <c r="F40" i="138"/>
  <c r="B20" i="137"/>
  <c r="F9" i="137"/>
  <c r="B9" i="137" s="1"/>
  <c r="F40" i="137"/>
  <c r="J7" i="147"/>
  <c r="I6" i="147"/>
  <c r="D71" i="167"/>
  <c r="D65" i="167"/>
  <c r="A65" i="167"/>
  <c r="E61" i="167"/>
  <c r="B61" i="167" s="1"/>
  <c r="E60" i="167"/>
  <c r="A59" i="167"/>
  <c r="K51" i="167"/>
  <c r="G51" i="167"/>
  <c r="F45" i="167"/>
  <c r="F41" i="167" s="1"/>
  <c r="F25" i="167" s="1"/>
  <c r="E45" i="167"/>
  <c r="B45" i="167" s="1"/>
  <c r="F44" i="167"/>
  <c r="F40" i="167" s="1"/>
  <c r="F24" i="167" s="1"/>
  <c r="E44" i="167"/>
  <c r="E40" i="167" s="1"/>
  <c r="K31" i="167"/>
  <c r="G31" i="167"/>
  <c r="J29" i="167"/>
  <c r="G29" i="167"/>
  <c r="K21" i="167"/>
  <c r="J19" i="167"/>
  <c r="K18" i="167"/>
  <c r="G18" i="167"/>
  <c r="K14" i="167"/>
  <c r="G14" i="167"/>
  <c r="O13" i="167"/>
  <c r="A2" i="167"/>
  <c r="H123" i="170"/>
  <c r="G123" i="170"/>
  <c r="E123" i="170"/>
  <c r="C123" i="170"/>
  <c r="H122" i="170"/>
  <c r="G122" i="170"/>
  <c r="E122" i="170"/>
  <c r="C122" i="170"/>
  <c r="H121" i="170"/>
  <c r="G121" i="170"/>
  <c r="E121" i="170"/>
  <c r="C121" i="170"/>
  <c r="H120" i="170"/>
  <c r="G120" i="170"/>
  <c r="E120" i="170"/>
  <c r="C120" i="170"/>
  <c r="H112" i="170"/>
  <c r="G112" i="170"/>
  <c r="E112" i="170"/>
  <c r="C112" i="170"/>
  <c r="H111" i="170"/>
  <c r="G111" i="170"/>
  <c r="E111" i="170"/>
  <c r="C111" i="170"/>
  <c r="H110" i="170"/>
  <c r="G110" i="170"/>
  <c r="E110" i="170"/>
  <c r="C110" i="170"/>
  <c r="H109" i="170"/>
  <c r="G109" i="170"/>
  <c r="E109" i="170"/>
  <c r="C109" i="170"/>
  <c r="H101" i="170"/>
  <c r="G101" i="170"/>
  <c r="E101" i="170"/>
  <c r="C101" i="170"/>
  <c r="H100" i="170"/>
  <c r="G100" i="170"/>
  <c r="E100" i="170"/>
  <c r="C100" i="170"/>
  <c r="H99" i="170"/>
  <c r="G99" i="170"/>
  <c r="E99" i="170"/>
  <c r="C99" i="170"/>
  <c r="H98" i="170"/>
  <c r="G98" i="170"/>
  <c r="E98" i="170"/>
  <c r="C98" i="170"/>
  <c r="H97" i="170"/>
  <c r="G97" i="170"/>
  <c r="E97" i="170"/>
  <c r="C97" i="170"/>
  <c r="G90" i="170"/>
  <c r="H89" i="170"/>
  <c r="G89" i="170"/>
  <c r="E89" i="170"/>
  <c r="C89" i="170"/>
  <c r="H88" i="170"/>
  <c r="G88" i="170"/>
  <c r="E88" i="170"/>
  <c r="C88" i="170"/>
  <c r="H87" i="170"/>
  <c r="G87" i="170"/>
  <c r="E87" i="170"/>
  <c r="C87" i="170"/>
  <c r="H86" i="170"/>
  <c r="G86" i="170"/>
  <c r="E86" i="170"/>
  <c r="C86" i="170"/>
  <c r="G79" i="170"/>
  <c r="H78" i="170"/>
  <c r="G78" i="170"/>
  <c r="E78" i="170"/>
  <c r="C78" i="170"/>
  <c r="H77" i="170"/>
  <c r="G77" i="170"/>
  <c r="E77" i="170"/>
  <c r="C77" i="170"/>
  <c r="H76" i="170"/>
  <c r="G76" i="170"/>
  <c r="E76" i="170"/>
  <c r="C76" i="170"/>
  <c r="H75" i="170"/>
  <c r="G75" i="170"/>
  <c r="E75" i="170"/>
  <c r="C75" i="170"/>
  <c r="G68" i="170"/>
  <c r="H67" i="170"/>
  <c r="G67" i="170"/>
  <c r="E67" i="170"/>
  <c r="C67" i="170"/>
  <c r="H66" i="170"/>
  <c r="G66" i="170"/>
  <c r="E66" i="170"/>
  <c r="C66" i="170"/>
  <c r="H65" i="170"/>
  <c r="G65" i="170"/>
  <c r="E65" i="170"/>
  <c r="C65" i="170"/>
  <c r="H64" i="170"/>
  <c r="G64" i="170"/>
  <c r="E64" i="170"/>
  <c r="C64" i="170"/>
  <c r="G57" i="170"/>
  <c r="H56" i="170"/>
  <c r="I67" i="170" s="1"/>
  <c r="G56" i="170"/>
  <c r="E56" i="170"/>
  <c r="C56" i="170"/>
  <c r="H55" i="170"/>
  <c r="I66" i="170" s="1"/>
  <c r="G55" i="170"/>
  <c r="E55" i="170"/>
  <c r="C55" i="170"/>
  <c r="H54" i="170"/>
  <c r="I65" i="170" s="1"/>
  <c r="G54" i="170"/>
  <c r="E54" i="170"/>
  <c r="C54" i="170"/>
  <c r="H53" i="170"/>
  <c r="I64" i="170" s="1"/>
  <c r="G53" i="170"/>
  <c r="E53" i="170"/>
  <c r="C53" i="170"/>
  <c r="H46" i="170"/>
  <c r="G46" i="170"/>
  <c r="E46" i="170"/>
  <c r="C46" i="170"/>
  <c r="H45" i="170"/>
  <c r="G45" i="170"/>
  <c r="E45" i="170"/>
  <c r="C45" i="170"/>
  <c r="H44" i="170"/>
  <c r="G44" i="170"/>
  <c r="E44" i="170"/>
  <c r="C44" i="170"/>
  <c r="H43" i="170"/>
  <c r="G43" i="170"/>
  <c r="E43" i="170"/>
  <c r="C43" i="170"/>
  <c r="H42" i="170"/>
  <c r="G42" i="170"/>
  <c r="E42" i="170"/>
  <c r="C42" i="170"/>
  <c r="H35" i="170"/>
  <c r="G35" i="170"/>
  <c r="E35" i="170"/>
  <c r="C35" i="170"/>
  <c r="L34" i="170"/>
  <c r="K34" i="170"/>
  <c r="J34" i="170"/>
  <c r="H34" i="170"/>
  <c r="G34" i="170"/>
  <c r="E34" i="170"/>
  <c r="C34" i="170"/>
  <c r="L33" i="170"/>
  <c r="K33" i="170"/>
  <c r="J33" i="170"/>
  <c r="C33" i="170"/>
  <c r="L32" i="170"/>
  <c r="K32" i="170"/>
  <c r="J32" i="170"/>
  <c r="H32" i="170"/>
  <c r="G32" i="170"/>
  <c r="E32" i="170"/>
  <c r="C32" i="170"/>
  <c r="L31" i="170"/>
  <c r="K31" i="170"/>
  <c r="J31" i="170"/>
  <c r="H31" i="170"/>
  <c r="G31" i="170"/>
  <c r="E31" i="170"/>
  <c r="C31" i="170"/>
  <c r="H24" i="170"/>
  <c r="H23" i="170"/>
  <c r="G23" i="170"/>
  <c r="E23" i="170"/>
  <c r="C23" i="170"/>
  <c r="H22" i="170"/>
  <c r="G22" i="170"/>
  <c r="E22" i="170"/>
  <c r="C22" i="170"/>
  <c r="H21" i="170"/>
  <c r="G21" i="170"/>
  <c r="E21" i="170"/>
  <c r="C21" i="170"/>
  <c r="H20" i="170"/>
  <c r="G20" i="170"/>
  <c r="E20" i="170"/>
  <c r="C20" i="170"/>
  <c r="H13" i="170"/>
  <c r="H12" i="170"/>
  <c r="H11" i="170"/>
  <c r="H10" i="170"/>
  <c r="H9" i="170"/>
  <c r="G123" i="126"/>
  <c r="G122" i="126"/>
  <c r="G121" i="126"/>
  <c r="G120" i="126"/>
  <c r="E121" i="126"/>
  <c r="E122" i="126"/>
  <c r="E123" i="126"/>
  <c r="E120" i="126"/>
  <c r="C121" i="126"/>
  <c r="C122" i="126"/>
  <c r="C123" i="126"/>
  <c r="C120" i="126"/>
  <c r="H123" i="126"/>
  <c r="H122" i="126"/>
  <c r="H121" i="126"/>
  <c r="H120" i="126"/>
  <c r="F21" i="164"/>
  <c r="F16" i="164"/>
  <c r="I22" i="164"/>
  <c r="F29" i="164"/>
  <c r="E20" i="138" l="1"/>
  <c r="B24" i="138"/>
  <c r="B21" i="137"/>
  <c r="E10" i="137"/>
  <c r="B10" i="137" s="1"/>
  <c r="I86" i="170"/>
  <c r="I87" i="170"/>
  <c r="I88" i="170"/>
  <c r="I89" i="170"/>
  <c r="B21" i="138"/>
  <c r="E10" i="138"/>
  <c r="B10" i="138" s="1"/>
  <c r="P61" i="167"/>
  <c r="B40" i="138"/>
  <c r="G19" i="138"/>
  <c r="B40" i="137"/>
  <c r="G19" i="137"/>
  <c r="E41" i="167"/>
  <c r="G19" i="167"/>
  <c r="F20" i="167"/>
  <c r="B40" i="167"/>
  <c r="E24" i="167"/>
  <c r="B44" i="167"/>
  <c r="B60" i="167"/>
  <c r="I5" i="181" s="1"/>
  <c r="O61" i="167"/>
  <c r="F21" i="167"/>
  <c r="F22" i="164"/>
  <c r="I3" i="149"/>
  <c r="L43" i="149"/>
  <c r="H33" i="149"/>
  <c r="H24" i="149"/>
  <c r="H26" i="149" s="1"/>
  <c r="I4" i="149"/>
  <c r="H3" i="149"/>
  <c r="F13" i="147"/>
  <c r="G13" i="147" s="1"/>
  <c r="F12" i="147"/>
  <c r="G12" i="147" s="1"/>
  <c r="F11" i="147"/>
  <c r="G11" i="147" s="1"/>
  <c r="F10" i="147"/>
  <c r="G10" i="147" s="1"/>
  <c r="F9" i="147"/>
  <c r="G9" i="147" s="1"/>
  <c r="F8" i="147"/>
  <c r="G8" i="147" s="1"/>
  <c r="F7" i="147"/>
  <c r="G7" i="147" s="1"/>
  <c r="G29" i="147" s="1"/>
  <c r="I32" i="147"/>
  <c r="K25" i="147"/>
  <c r="E29" i="147"/>
  <c r="J24" i="147"/>
  <c r="I17" i="147"/>
  <c r="A8" i="147"/>
  <c r="A9" i="147" s="1"/>
  <c r="A18" i="147" s="1"/>
  <c r="A19" i="147" s="1"/>
  <c r="A20" i="147" s="1"/>
  <c r="A21" i="147" s="1"/>
  <c r="A22" i="147" s="1"/>
  <c r="A23" i="147" s="1"/>
  <c r="A24" i="147" s="1"/>
  <c r="A27" i="147" s="1"/>
  <c r="A28" i="147" s="1"/>
  <c r="A8" i="145"/>
  <c r="A9" i="145" s="1"/>
  <c r="A10" i="145" s="1"/>
  <c r="E23" i="145"/>
  <c r="E34" i="132"/>
  <c r="E35" i="132" s="1"/>
  <c r="E12" i="64"/>
  <c r="E91" i="144"/>
  <c r="E92" i="144" s="1"/>
  <c r="E90" i="144"/>
  <c r="K26" i="145"/>
  <c r="K93" i="144"/>
  <c r="K91" i="144"/>
  <c r="J91" i="144"/>
  <c r="C91" i="144"/>
  <c r="T91" i="144" s="1"/>
  <c r="C90" i="144"/>
  <c r="T87" i="144"/>
  <c r="I82" i="144"/>
  <c r="F82" i="144"/>
  <c r="K66" i="144"/>
  <c r="L61" i="144"/>
  <c r="K61" i="144"/>
  <c r="L56" i="144"/>
  <c r="K56" i="144"/>
  <c r="L54" i="144"/>
  <c r="K54" i="144"/>
  <c r="L52" i="144"/>
  <c r="K52" i="144"/>
  <c r="K51" i="144"/>
  <c r="L49" i="144"/>
  <c r="K49" i="144"/>
  <c r="L48" i="144"/>
  <c r="K48" i="144"/>
  <c r="L44" i="144"/>
  <c r="K44" i="144"/>
  <c r="I30" i="144"/>
  <c r="F36" i="144" s="1"/>
  <c r="K84" i="144"/>
  <c r="F30" i="144"/>
  <c r="J29" i="144"/>
  <c r="J28" i="144"/>
  <c r="J27" i="144"/>
  <c r="J17" i="144"/>
  <c r="J12" i="144"/>
  <c r="K12" i="144"/>
  <c r="I77" i="135"/>
  <c r="D52" i="135"/>
  <c r="E18" i="135"/>
  <c r="F58" i="135"/>
  <c r="F54" i="135"/>
  <c r="F52" i="135"/>
  <c r="F51" i="135"/>
  <c r="F50" i="135"/>
  <c r="F49" i="135"/>
  <c r="F48" i="135"/>
  <c r="F47" i="135"/>
  <c r="F46" i="135"/>
  <c r="F45" i="135"/>
  <c r="F44" i="135"/>
  <c r="E43" i="135"/>
  <c r="F43" i="135"/>
  <c r="F42" i="135"/>
  <c r="F41" i="135"/>
  <c r="F38" i="135" s="1"/>
  <c r="F40" i="135"/>
  <c r="F39" i="135"/>
  <c r="F36" i="135"/>
  <c r="F35" i="135"/>
  <c r="F34" i="135"/>
  <c r="E33" i="135"/>
  <c r="F32" i="135"/>
  <c r="F31" i="135"/>
  <c r="F30" i="135"/>
  <c r="F29" i="135"/>
  <c r="F28" i="135"/>
  <c r="F27" i="135"/>
  <c r="F26" i="135"/>
  <c r="F25" i="135"/>
  <c r="F24" i="135"/>
  <c r="F23" i="135"/>
  <c r="F21" i="135" s="1"/>
  <c r="F19" i="135" s="1"/>
  <c r="F22" i="135"/>
  <c r="F20" i="135"/>
  <c r="F17" i="135"/>
  <c r="G17" i="135"/>
  <c r="F16" i="135"/>
  <c r="F15" i="135"/>
  <c r="G15" i="135"/>
  <c r="F14" i="135"/>
  <c r="F13" i="135" s="1"/>
  <c r="F12" i="135" s="1"/>
  <c r="F11" i="135" s="1"/>
  <c r="E13" i="135"/>
  <c r="B10" i="133"/>
  <c r="G26" i="132"/>
  <c r="G16" i="132"/>
  <c r="E22" i="132"/>
  <c r="E18" i="181" s="1"/>
  <c r="F22" i="132"/>
  <c r="G22" i="132"/>
  <c r="E11" i="132"/>
  <c r="E12" i="132"/>
  <c r="F10" i="132"/>
  <c r="G10" i="132"/>
  <c r="E9" i="132"/>
  <c r="F9" i="132"/>
  <c r="D85" i="131"/>
  <c r="F8" i="132"/>
  <c r="G8" i="132" s="1"/>
  <c r="F7" i="132"/>
  <c r="G7" i="132"/>
  <c r="G29" i="132"/>
  <c r="F16" i="132"/>
  <c r="K24" i="132"/>
  <c r="E16" i="132"/>
  <c r="I14" i="131"/>
  <c r="I9" i="131"/>
  <c r="J9" i="131"/>
  <c r="E27" i="131"/>
  <c r="C9" i="133"/>
  <c r="J87" i="131"/>
  <c r="J85" i="131"/>
  <c r="I85" i="131"/>
  <c r="D84" i="131"/>
  <c r="S81" i="131" s="1"/>
  <c r="H76" i="131"/>
  <c r="E76" i="131"/>
  <c r="J60" i="131"/>
  <c r="K55" i="131"/>
  <c r="J55" i="131"/>
  <c r="K50" i="131"/>
  <c r="J50" i="131"/>
  <c r="K48" i="131"/>
  <c r="J48" i="131"/>
  <c r="K46" i="131"/>
  <c r="J46" i="131"/>
  <c r="J45" i="131"/>
  <c r="K43" i="131"/>
  <c r="J43" i="131"/>
  <c r="K42" i="131"/>
  <c r="J42" i="131"/>
  <c r="K38" i="131"/>
  <c r="J38" i="131"/>
  <c r="H27" i="131"/>
  <c r="D30" i="131" s="1"/>
  <c r="C32" i="131" s="1"/>
  <c r="I26" i="131"/>
  <c r="I25" i="131"/>
  <c r="I24" i="131"/>
  <c r="E52" i="130"/>
  <c r="E41" i="130"/>
  <c r="E12" i="130"/>
  <c r="E9" i="130"/>
  <c r="J14" i="130"/>
  <c r="K14" i="130"/>
  <c r="J15" i="130"/>
  <c r="K15" i="130"/>
  <c r="G56" i="130"/>
  <c r="H56" i="130"/>
  <c r="F12" i="130"/>
  <c r="F38" i="130"/>
  <c r="D56" i="130"/>
  <c r="D60" i="130"/>
  <c r="F60" i="130" s="1"/>
  <c r="D26" i="130"/>
  <c r="D40" i="130"/>
  <c r="F40" i="130" s="1"/>
  <c r="F27" i="130" s="1"/>
  <c r="D25" i="130"/>
  <c r="D24" i="130"/>
  <c r="D23" i="130" s="1"/>
  <c r="H112" i="126"/>
  <c r="G112" i="126"/>
  <c r="E112" i="126"/>
  <c r="C112" i="126"/>
  <c r="H111" i="126"/>
  <c r="G111" i="126"/>
  <c r="E111" i="126"/>
  <c r="C111" i="126"/>
  <c r="H110" i="126"/>
  <c r="G110" i="126"/>
  <c r="E110" i="126"/>
  <c r="C110" i="126"/>
  <c r="H109" i="126"/>
  <c r="G109" i="126"/>
  <c r="E109" i="126"/>
  <c r="C109" i="126"/>
  <c r="H101" i="126"/>
  <c r="G101" i="126"/>
  <c r="E101" i="126"/>
  <c r="C101" i="126"/>
  <c r="H100" i="126"/>
  <c r="G100" i="126"/>
  <c r="E100" i="126"/>
  <c r="C100" i="126"/>
  <c r="H99" i="126"/>
  <c r="G99" i="126"/>
  <c r="E99" i="126"/>
  <c r="C99" i="126"/>
  <c r="H98" i="126"/>
  <c r="G98" i="126"/>
  <c r="E98" i="126"/>
  <c r="C98" i="126"/>
  <c r="H97" i="126"/>
  <c r="G97" i="126"/>
  <c r="E97" i="126"/>
  <c r="C97" i="126"/>
  <c r="G90" i="126"/>
  <c r="H89" i="126"/>
  <c r="I89" i="126" s="1"/>
  <c r="G89" i="126"/>
  <c r="E89" i="126"/>
  <c r="C89" i="126"/>
  <c r="H88" i="126"/>
  <c r="G88" i="126"/>
  <c r="E88" i="126"/>
  <c r="C88" i="126"/>
  <c r="H87" i="126"/>
  <c r="I87" i="126" s="1"/>
  <c r="G87" i="126"/>
  <c r="E87" i="126"/>
  <c r="C87" i="126"/>
  <c r="H86" i="126"/>
  <c r="G86" i="126"/>
  <c r="E86" i="126"/>
  <c r="C86" i="126"/>
  <c r="G79" i="126"/>
  <c r="H78" i="126"/>
  <c r="G78" i="126"/>
  <c r="E78" i="126"/>
  <c r="C78" i="126"/>
  <c r="H77" i="126"/>
  <c r="G77" i="126"/>
  <c r="E77" i="126"/>
  <c r="C77" i="126"/>
  <c r="H76" i="126"/>
  <c r="G76" i="126"/>
  <c r="E76" i="126"/>
  <c r="C76" i="126"/>
  <c r="H75" i="126"/>
  <c r="G75" i="126"/>
  <c r="E75" i="126"/>
  <c r="C75" i="126"/>
  <c r="G68" i="126"/>
  <c r="H67" i="126"/>
  <c r="G67" i="126"/>
  <c r="E67" i="126"/>
  <c r="C67" i="126"/>
  <c r="H66" i="126"/>
  <c r="G66" i="126"/>
  <c r="E66" i="126"/>
  <c r="C66" i="126"/>
  <c r="H65" i="126"/>
  <c r="G65" i="126"/>
  <c r="E65" i="126"/>
  <c r="C65" i="126"/>
  <c r="H64" i="126"/>
  <c r="G64" i="126"/>
  <c r="E64" i="126"/>
  <c r="C64" i="126"/>
  <c r="G57" i="126"/>
  <c r="H56" i="126"/>
  <c r="I67" i="126"/>
  <c r="G56" i="126"/>
  <c r="E56" i="126"/>
  <c r="C56" i="126"/>
  <c r="H55" i="126"/>
  <c r="I66" i="126" s="1"/>
  <c r="G55" i="126"/>
  <c r="E55" i="126"/>
  <c r="C55" i="126"/>
  <c r="H54" i="126"/>
  <c r="I65" i="126"/>
  <c r="G54" i="126"/>
  <c r="E54" i="126"/>
  <c r="C54" i="126"/>
  <c r="H53" i="126"/>
  <c r="I64" i="126" s="1"/>
  <c r="G53" i="126"/>
  <c r="E53" i="126"/>
  <c r="C53" i="126"/>
  <c r="H46" i="126"/>
  <c r="G46" i="126"/>
  <c r="E46" i="126"/>
  <c r="C46" i="126"/>
  <c r="H45" i="126"/>
  <c r="G45" i="126"/>
  <c r="E45" i="126"/>
  <c r="C45" i="126"/>
  <c r="H44" i="126"/>
  <c r="G44" i="126"/>
  <c r="E44" i="126"/>
  <c r="C44" i="126"/>
  <c r="H43" i="126"/>
  <c r="G43" i="126"/>
  <c r="E43" i="126"/>
  <c r="C43" i="126"/>
  <c r="H42" i="126"/>
  <c r="G42" i="126"/>
  <c r="E42" i="126"/>
  <c r="C42" i="126"/>
  <c r="H35" i="126"/>
  <c r="G35" i="126"/>
  <c r="E35" i="126"/>
  <c r="C35" i="126"/>
  <c r="L34" i="126"/>
  <c r="K34" i="126"/>
  <c r="J34" i="126"/>
  <c r="H34" i="126"/>
  <c r="G34" i="126"/>
  <c r="E34" i="126"/>
  <c r="C34" i="126"/>
  <c r="L33" i="126"/>
  <c r="K33" i="126"/>
  <c r="J33" i="126"/>
  <c r="C33" i="126"/>
  <c r="L32" i="126"/>
  <c r="K32" i="126"/>
  <c r="J32" i="126"/>
  <c r="H32" i="126"/>
  <c r="G32" i="126"/>
  <c r="E32" i="126"/>
  <c r="C32" i="126"/>
  <c r="L31" i="126"/>
  <c r="K31" i="126"/>
  <c r="J31" i="126"/>
  <c r="H31" i="126"/>
  <c r="G31" i="126"/>
  <c r="E31" i="126"/>
  <c r="C31" i="126"/>
  <c r="H24" i="126"/>
  <c r="H23" i="126"/>
  <c r="G23" i="126"/>
  <c r="E23" i="126"/>
  <c r="C23" i="126"/>
  <c r="H22" i="126"/>
  <c r="G22" i="126"/>
  <c r="E22" i="126"/>
  <c r="C22" i="126"/>
  <c r="H21" i="126"/>
  <c r="G21" i="126"/>
  <c r="E21" i="126"/>
  <c r="C21" i="126"/>
  <c r="H20" i="126"/>
  <c r="G20" i="126"/>
  <c r="E20" i="126"/>
  <c r="C20" i="126"/>
  <c r="H13" i="126"/>
  <c r="H12" i="126"/>
  <c r="H11" i="126"/>
  <c r="H10" i="126"/>
  <c r="H9" i="126"/>
  <c r="H52" i="130"/>
  <c r="G52" i="130"/>
  <c r="H51" i="130"/>
  <c r="H41" i="130"/>
  <c r="H58" i="130"/>
  <c r="G41" i="130"/>
  <c r="G58" i="130"/>
  <c r="H29" i="130"/>
  <c r="H27" i="130" s="1"/>
  <c r="H45" i="130" s="1"/>
  <c r="H71" i="130" s="1"/>
  <c r="G29" i="130"/>
  <c r="G27" i="130" s="1"/>
  <c r="D29" i="130"/>
  <c r="H23" i="130"/>
  <c r="G23" i="130"/>
  <c r="B21" i="130"/>
  <c r="C21" i="130"/>
  <c r="D21" i="130"/>
  <c r="F10" i="130"/>
  <c r="B6" i="130"/>
  <c r="C6" i="130"/>
  <c r="D6" i="130" s="1"/>
  <c r="F13" i="103"/>
  <c r="F42" i="103" s="1"/>
  <c r="F11" i="103"/>
  <c r="F10" i="103" s="1"/>
  <c r="F27" i="103"/>
  <c r="F14" i="103" s="1"/>
  <c r="F38" i="103"/>
  <c r="F33" i="103" s="1"/>
  <c r="E43" i="129"/>
  <c r="E43" i="128"/>
  <c r="E43" i="127"/>
  <c r="E43" i="125"/>
  <c r="E38" i="125"/>
  <c r="D38" i="125"/>
  <c r="E38" i="127"/>
  <c r="J38" i="127" s="1"/>
  <c r="E38" i="128"/>
  <c r="I19" i="128"/>
  <c r="E33" i="127"/>
  <c r="J33" i="127" s="1"/>
  <c r="E32" i="127"/>
  <c r="E26" i="128"/>
  <c r="E28" i="128"/>
  <c r="E27" i="128"/>
  <c r="E27" i="129" s="1"/>
  <c r="E29" i="128"/>
  <c r="E24" i="128" s="1"/>
  <c r="E25" i="128"/>
  <c r="E25" i="127"/>
  <c r="E25" i="129"/>
  <c r="E26" i="127"/>
  <c r="E26" i="129" s="1"/>
  <c r="E27" i="127"/>
  <c r="E28" i="127"/>
  <c r="D39" i="129"/>
  <c r="D33" i="129"/>
  <c r="D35" i="129"/>
  <c r="D32" i="129"/>
  <c r="D26" i="129"/>
  <c r="D27" i="129"/>
  <c r="D28" i="129"/>
  <c r="D29" i="129"/>
  <c r="D25" i="129"/>
  <c r="C25" i="129" s="1"/>
  <c r="D39" i="128"/>
  <c r="D33" i="128"/>
  <c r="I33" i="128" s="1"/>
  <c r="D35" i="128"/>
  <c r="I35" i="128" s="1"/>
  <c r="D32" i="128"/>
  <c r="I32" i="128" s="1"/>
  <c r="D26" i="128"/>
  <c r="C26" i="128" s="1"/>
  <c r="D27" i="128"/>
  <c r="C27" i="128" s="1"/>
  <c r="D28" i="128"/>
  <c r="C28" i="128" s="1"/>
  <c r="D29" i="128"/>
  <c r="C29" i="128" s="1"/>
  <c r="D25" i="128"/>
  <c r="D39" i="127"/>
  <c r="I39" i="127" s="1"/>
  <c r="D35" i="127"/>
  <c r="I35" i="127" s="1"/>
  <c r="I35" i="129" s="1"/>
  <c r="D33" i="127"/>
  <c r="D32" i="127"/>
  <c r="D27" i="127"/>
  <c r="C27" i="127" s="1"/>
  <c r="D26" i="127"/>
  <c r="D25" i="127"/>
  <c r="C25" i="127" s="1"/>
  <c r="D28" i="127"/>
  <c r="D29" i="127"/>
  <c r="E29" i="127"/>
  <c r="I19" i="127"/>
  <c r="I19" i="129" s="1"/>
  <c r="S28" i="125"/>
  <c r="R28" i="129"/>
  <c r="N69" i="129"/>
  <c r="L69" i="129"/>
  <c r="N62" i="129"/>
  <c r="L62" i="129"/>
  <c r="G54" i="129"/>
  <c r="H54" i="129" s="1"/>
  <c r="G53" i="129"/>
  <c r="F53" i="129"/>
  <c r="E53" i="129"/>
  <c r="G52" i="129"/>
  <c r="F52" i="129"/>
  <c r="G51" i="129"/>
  <c r="F51" i="129"/>
  <c r="G50" i="129"/>
  <c r="F50" i="129"/>
  <c r="M36" i="129"/>
  <c r="L36" i="129"/>
  <c r="M31" i="129"/>
  <c r="L31" i="129"/>
  <c r="H13" i="129"/>
  <c r="G13" i="129"/>
  <c r="G12" i="129"/>
  <c r="G11" i="129"/>
  <c r="G10" i="129"/>
  <c r="F65" i="128"/>
  <c r="G65" i="128"/>
  <c r="F66" i="128"/>
  <c r="G26" i="128" s="1"/>
  <c r="J26" i="128" s="1"/>
  <c r="G66" i="128"/>
  <c r="H26" i="128" s="1"/>
  <c r="N26" i="128" s="1"/>
  <c r="E67" i="128"/>
  <c r="F27" i="128" s="1"/>
  <c r="F67" i="128"/>
  <c r="G27" i="128" s="1"/>
  <c r="J27" i="128" s="1"/>
  <c r="G67" i="128"/>
  <c r="H27" i="128" s="1"/>
  <c r="G68" i="128"/>
  <c r="H28" i="128" s="1"/>
  <c r="G64" i="128"/>
  <c r="H25" i="128" s="1"/>
  <c r="N25" i="128" s="1"/>
  <c r="F64" i="128"/>
  <c r="G25" i="128" s="1"/>
  <c r="J25" i="128" s="1"/>
  <c r="E39" i="128"/>
  <c r="C39" i="128" s="1"/>
  <c r="E35" i="128"/>
  <c r="E33" i="128"/>
  <c r="J33" i="128" s="1"/>
  <c r="E32" i="128"/>
  <c r="N32" i="128" s="1"/>
  <c r="N39" i="128"/>
  <c r="M36" i="128"/>
  <c r="L36" i="128"/>
  <c r="M31" i="128"/>
  <c r="L31" i="128"/>
  <c r="I28" i="128"/>
  <c r="H13" i="128"/>
  <c r="G13" i="128"/>
  <c r="G12" i="128"/>
  <c r="G11" i="128"/>
  <c r="G10" i="128"/>
  <c r="E35" i="127"/>
  <c r="N35" i="127" s="1"/>
  <c r="E39" i="127"/>
  <c r="I28" i="127"/>
  <c r="G68" i="127"/>
  <c r="G67" i="127"/>
  <c r="H27" i="127" s="1"/>
  <c r="N27" i="127" s="1"/>
  <c r="F67" i="127"/>
  <c r="G27" i="127" s="1"/>
  <c r="J27" i="127" s="1"/>
  <c r="E67" i="127"/>
  <c r="F27" i="127" s="1"/>
  <c r="I27" i="127" s="1"/>
  <c r="G66" i="127"/>
  <c r="H26" i="127" s="1"/>
  <c r="F66" i="127"/>
  <c r="G26" i="127" s="1"/>
  <c r="E66" i="127"/>
  <c r="F26" i="127" s="1"/>
  <c r="I26" i="127" s="1"/>
  <c r="G65" i="127"/>
  <c r="F65" i="127"/>
  <c r="E65" i="127"/>
  <c r="G64" i="127"/>
  <c r="H25" i="127" s="1"/>
  <c r="N25" i="127" s="1"/>
  <c r="F64" i="127"/>
  <c r="G25" i="127" s="1"/>
  <c r="J25" i="127" s="1"/>
  <c r="E64" i="127"/>
  <c r="F25" i="127" s="1"/>
  <c r="M36" i="127"/>
  <c r="L36" i="127"/>
  <c r="M31" i="127"/>
  <c r="L31" i="127"/>
  <c r="H13" i="127"/>
  <c r="G13" i="127"/>
  <c r="G12" i="127"/>
  <c r="G11" i="127"/>
  <c r="G10" i="127"/>
  <c r="F65" i="125"/>
  <c r="G65" i="125"/>
  <c r="F66" i="125"/>
  <c r="G66" i="125"/>
  <c r="F67" i="125"/>
  <c r="G67" i="125"/>
  <c r="G68" i="125"/>
  <c r="H68" i="125" s="1"/>
  <c r="G64" i="125"/>
  <c r="F64" i="125"/>
  <c r="E66" i="125"/>
  <c r="E67" i="125"/>
  <c r="E65" i="125"/>
  <c r="E64" i="125"/>
  <c r="H29" i="125"/>
  <c r="J39" i="125"/>
  <c r="I39" i="125"/>
  <c r="C39" i="125"/>
  <c r="M36" i="125"/>
  <c r="L36" i="125"/>
  <c r="J35" i="125"/>
  <c r="I35" i="125"/>
  <c r="C35" i="125"/>
  <c r="I33" i="125"/>
  <c r="J32" i="125"/>
  <c r="I32" i="125"/>
  <c r="C32" i="125"/>
  <c r="M31" i="125"/>
  <c r="L31" i="125"/>
  <c r="E29" i="125"/>
  <c r="N29" i="125" s="1"/>
  <c r="E28" i="125"/>
  <c r="I28" i="125"/>
  <c r="I27" i="125"/>
  <c r="E27" i="125"/>
  <c r="I26" i="125"/>
  <c r="E26" i="125"/>
  <c r="N26" i="125"/>
  <c r="I25" i="125"/>
  <c r="E25" i="125"/>
  <c r="N25" i="125" s="1"/>
  <c r="H13" i="125"/>
  <c r="G13" i="125"/>
  <c r="G12" i="125"/>
  <c r="G11" i="125"/>
  <c r="G10" i="125"/>
  <c r="E37" i="124"/>
  <c r="J37" i="124" s="1"/>
  <c r="D37" i="124"/>
  <c r="E29" i="124"/>
  <c r="C29" i="124"/>
  <c r="D29" i="124"/>
  <c r="E28" i="124"/>
  <c r="D28" i="124"/>
  <c r="D24" i="124" s="1"/>
  <c r="E27" i="124"/>
  <c r="J27" i="124" s="1"/>
  <c r="E26" i="124"/>
  <c r="E25" i="124"/>
  <c r="G67" i="124"/>
  <c r="H29" i="124" s="1"/>
  <c r="N29" i="124" s="1"/>
  <c r="F67" i="124"/>
  <c r="E67" i="124"/>
  <c r="G66" i="124"/>
  <c r="F66" i="124"/>
  <c r="E66" i="124"/>
  <c r="G65" i="124"/>
  <c r="F65" i="124"/>
  <c r="E65" i="124"/>
  <c r="H65" i="124" s="1"/>
  <c r="G64" i="124"/>
  <c r="F64" i="124"/>
  <c r="E64" i="124"/>
  <c r="G63" i="124"/>
  <c r="F63" i="124"/>
  <c r="E63" i="124"/>
  <c r="F25" i="124" s="1"/>
  <c r="I25" i="124" s="1"/>
  <c r="J38" i="124"/>
  <c r="I38" i="124"/>
  <c r="K38" i="124"/>
  <c r="H38" i="124" s="1"/>
  <c r="N38" i="124" s="1"/>
  <c r="C38" i="124"/>
  <c r="M35" i="124"/>
  <c r="L35" i="124"/>
  <c r="J34" i="124"/>
  <c r="I34" i="124"/>
  <c r="K34" i="124"/>
  <c r="H34" i="124" s="1"/>
  <c r="N34" i="124" s="1"/>
  <c r="C34" i="124"/>
  <c r="J32" i="124"/>
  <c r="K32" i="124" s="1"/>
  <c r="I32" i="124"/>
  <c r="C32" i="124"/>
  <c r="M31" i="124"/>
  <c r="L31" i="124"/>
  <c r="H28" i="124"/>
  <c r="N28" i="124" s="1"/>
  <c r="G28" i="124"/>
  <c r="G29" i="124" s="1"/>
  <c r="J29" i="124" s="1"/>
  <c r="F28" i="124"/>
  <c r="I28" i="124" s="1"/>
  <c r="H27" i="124"/>
  <c r="G27" i="124"/>
  <c r="F27" i="124"/>
  <c r="I27" i="124" s="1"/>
  <c r="H26" i="124"/>
  <c r="N26" i="124" s="1"/>
  <c r="G26" i="124"/>
  <c r="J26" i="124" s="1"/>
  <c r="C26" i="124"/>
  <c r="H25" i="124"/>
  <c r="N25" i="124" s="1"/>
  <c r="G25" i="124"/>
  <c r="J25" i="124" s="1"/>
  <c r="H13" i="124"/>
  <c r="G13" i="124"/>
  <c r="G12" i="124"/>
  <c r="G11" i="124"/>
  <c r="G10" i="124"/>
  <c r="G66" i="123"/>
  <c r="H29" i="123" s="1"/>
  <c r="N29" i="123" s="1"/>
  <c r="F66" i="123"/>
  <c r="E66" i="123"/>
  <c r="G65" i="123"/>
  <c r="F65" i="123"/>
  <c r="E65" i="123"/>
  <c r="G64" i="123"/>
  <c r="F64" i="123"/>
  <c r="E64" i="123"/>
  <c r="H64" i="123" s="1"/>
  <c r="G63" i="123"/>
  <c r="F63" i="123"/>
  <c r="E63" i="123"/>
  <c r="G62" i="123"/>
  <c r="F62" i="123"/>
  <c r="H62" i="123" s="1"/>
  <c r="E62" i="123"/>
  <c r="F25" i="123" s="1"/>
  <c r="I25" i="123" s="1"/>
  <c r="H40" i="123"/>
  <c r="J37" i="123"/>
  <c r="I37" i="123"/>
  <c r="K37" i="123" s="1"/>
  <c r="H37" i="123" s="1"/>
  <c r="N37" i="123" s="1"/>
  <c r="C37" i="123"/>
  <c r="J36" i="123"/>
  <c r="I36" i="123"/>
  <c r="K36" i="123"/>
  <c r="H36" i="123"/>
  <c r="N36" i="123" s="1"/>
  <c r="C36" i="123"/>
  <c r="M34" i="123"/>
  <c r="L34" i="123"/>
  <c r="J33" i="123"/>
  <c r="I33" i="123"/>
  <c r="K33" i="123"/>
  <c r="H33" i="123"/>
  <c r="N33" i="123" s="1"/>
  <c r="C33" i="123"/>
  <c r="J32" i="123"/>
  <c r="J31" i="123" s="1"/>
  <c r="I32" i="123"/>
  <c r="C32" i="123"/>
  <c r="M31" i="123"/>
  <c r="L31" i="123"/>
  <c r="C29" i="123"/>
  <c r="H28" i="123"/>
  <c r="N28" i="123" s="1"/>
  <c r="G28" i="123"/>
  <c r="G29" i="123" s="1"/>
  <c r="J29" i="123" s="1"/>
  <c r="F28" i="123"/>
  <c r="F29" i="123" s="1"/>
  <c r="I29" i="123" s="1"/>
  <c r="C28" i="123"/>
  <c r="H27" i="123"/>
  <c r="N27" i="123" s="1"/>
  <c r="G27" i="123"/>
  <c r="J27" i="123" s="1"/>
  <c r="F27" i="123"/>
  <c r="I27" i="123" s="1"/>
  <c r="C27" i="123"/>
  <c r="H26" i="123"/>
  <c r="N26" i="123" s="1"/>
  <c r="G26" i="123"/>
  <c r="J26" i="123" s="1"/>
  <c r="C26" i="123"/>
  <c r="H25" i="123"/>
  <c r="N25" i="123" s="1"/>
  <c r="G25" i="123"/>
  <c r="J25" i="123" s="1"/>
  <c r="C25" i="123"/>
  <c r="E24" i="123"/>
  <c r="E35" i="123"/>
  <c r="D24" i="123"/>
  <c r="D35" i="123" s="1"/>
  <c r="H13" i="123"/>
  <c r="G13" i="123"/>
  <c r="G12" i="123"/>
  <c r="G11" i="123"/>
  <c r="G10" i="123"/>
  <c r="G40" i="122"/>
  <c r="G63" i="122"/>
  <c r="G64" i="122"/>
  <c r="G65" i="122"/>
  <c r="G66" i="122"/>
  <c r="H29" i="122" s="1"/>
  <c r="N29" i="122" s="1"/>
  <c r="G62" i="122"/>
  <c r="F63" i="122"/>
  <c r="F64" i="122"/>
  <c r="F65" i="122"/>
  <c r="F66" i="122"/>
  <c r="F62" i="122"/>
  <c r="E63" i="122"/>
  <c r="E64" i="122"/>
  <c r="F26" i="122" s="1"/>
  <c r="I26" i="122" s="1"/>
  <c r="E65" i="122"/>
  <c r="E66" i="122"/>
  <c r="E62" i="122"/>
  <c r="H27" i="122"/>
  <c r="N27" i="122" s="1"/>
  <c r="H26" i="122"/>
  <c r="N26" i="122" s="1"/>
  <c r="H25" i="122"/>
  <c r="N25" i="122" s="1"/>
  <c r="H28" i="122"/>
  <c r="N28" i="122" s="1"/>
  <c r="G28" i="122"/>
  <c r="G27" i="122"/>
  <c r="J27" i="122" s="1"/>
  <c r="G26" i="122"/>
  <c r="J26" i="122" s="1"/>
  <c r="G25" i="122"/>
  <c r="J25" i="122" s="1"/>
  <c r="F28" i="122"/>
  <c r="F27" i="122"/>
  <c r="I27" i="122" s="1"/>
  <c r="K27" i="122" s="1"/>
  <c r="J37" i="122"/>
  <c r="I37" i="122"/>
  <c r="K37" i="122"/>
  <c r="H37" i="122" s="1"/>
  <c r="N37" i="122" s="1"/>
  <c r="C37" i="122"/>
  <c r="H40" i="122"/>
  <c r="I36" i="122"/>
  <c r="C36" i="122"/>
  <c r="M34" i="122"/>
  <c r="L34" i="122"/>
  <c r="J33" i="122"/>
  <c r="I33" i="122"/>
  <c r="K33" i="122"/>
  <c r="H33" i="122"/>
  <c r="N33" i="122" s="1"/>
  <c r="C33" i="122"/>
  <c r="I32" i="122"/>
  <c r="C32" i="122"/>
  <c r="M31" i="122"/>
  <c r="L31" i="122"/>
  <c r="C29" i="122"/>
  <c r="C28" i="122"/>
  <c r="C27" i="122"/>
  <c r="C26" i="122"/>
  <c r="C25" i="122"/>
  <c r="E24" i="122"/>
  <c r="E35" i="122"/>
  <c r="D24" i="122"/>
  <c r="D35" i="122" s="1"/>
  <c r="H13" i="122"/>
  <c r="G13" i="122"/>
  <c r="G12" i="122"/>
  <c r="G11" i="122"/>
  <c r="G10" i="122"/>
  <c r="H29" i="120" s="1"/>
  <c r="G28" i="120" s="1"/>
  <c r="F28" i="120" s="1"/>
  <c r="H27" i="120" s="1"/>
  <c r="G27" i="120" s="1"/>
  <c r="F27" i="120" s="1"/>
  <c r="H26" i="120" s="1"/>
  <c r="N26" i="120" s="1"/>
  <c r="G26" i="120"/>
  <c r="J26" i="120" s="1"/>
  <c r="F26" i="120" s="1"/>
  <c r="H25" i="120"/>
  <c r="N25" i="120" s="1"/>
  <c r="G25" i="120" s="1"/>
  <c r="J25" i="120" s="1"/>
  <c r="F25" i="120"/>
  <c r="H81" i="121"/>
  <c r="G81" i="121"/>
  <c r="E81" i="121"/>
  <c r="C81" i="121"/>
  <c r="H80" i="121"/>
  <c r="G80" i="121"/>
  <c r="E80" i="121"/>
  <c r="C80" i="121"/>
  <c r="H79" i="121"/>
  <c r="G79" i="121"/>
  <c r="E79" i="121"/>
  <c r="C79" i="121"/>
  <c r="H78" i="121"/>
  <c r="G78" i="121"/>
  <c r="E78" i="121"/>
  <c r="C78" i="121"/>
  <c r="H77" i="121"/>
  <c r="G77" i="121"/>
  <c r="E77" i="121"/>
  <c r="C77" i="121"/>
  <c r="H69" i="121"/>
  <c r="G69" i="121"/>
  <c r="E69" i="121"/>
  <c r="C69" i="121"/>
  <c r="H68" i="121"/>
  <c r="G68" i="121"/>
  <c r="E68" i="121"/>
  <c r="C68" i="121"/>
  <c r="H67" i="121"/>
  <c r="G67" i="121"/>
  <c r="E67" i="121"/>
  <c r="C67" i="121"/>
  <c r="H66" i="121"/>
  <c r="G66" i="121"/>
  <c r="E66" i="121"/>
  <c r="C66" i="121"/>
  <c r="H65" i="121"/>
  <c r="G65" i="121"/>
  <c r="E65" i="121"/>
  <c r="C65" i="121"/>
  <c r="H57" i="121"/>
  <c r="G57" i="121"/>
  <c r="E57" i="121"/>
  <c r="C57" i="121"/>
  <c r="H56" i="121"/>
  <c r="G56" i="121"/>
  <c r="E56" i="121"/>
  <c r="C56" i="121"/>
  <c r="H55" i="121"/>
  <c r="G55" i="121"/>
  <c r="E55" i="121"/>
  <c r="C55" i="121"/>
  <c r="H54" i="121"/>
  <c r="G54" i="121"/>
  <c r="E54" i="121"/>
  <c r="C54" i="121"/>
  <c r="H53" i="121"/>
  <c r="G53" i="121"/>
  <c r="E53" i="121"/>
  <c r="C53" i="121"/>
  <c r="H46" i="121"/>
  <c r="G46" i="121"/>
  <c r="E46" i="121"/>
  <c r="C46" i="121"/>
  <c r="H45" i="121"/>
  <c r="G45" i="121"/>
  <c r="E45" i="121"/>
  <c r="C45" i="121"/>
  <c r="H44" i="121"/>
  <c r="G44" i="121"/>
  <c r="E44" i="121"/>
  <c r="C44" i="121"/>
  <c r="H43" i="121"/>
  <c r="G43" i="121"/>
  <c r="E43" i="121"/>
  <c r="C43" i="121"/>
  <c r="H42" i="121"/>
  <c r="G42" i="121"/>
  <c r="E42" i="121"/>
  <c r="C42" i="121"/>
  <c r="H35" i="121"/>
  <c r="H34" i="121"/>
  <c r="H33" i="121"/>
  <c r="H32" i="121"/>
  <c r="H31" i="121"/>
  <c r="G35" i="121" s="1"/>
  <c r="E35" i="121" s="1"/>
  <c r="E34" i="121" s="1"/>
  <c r="E33" i="121" s="1"/>
  <c r="E32" i="121" s="1"/>
  <c r="E31" i="121" s="1"/>
  <c r="H13" i="121"/>
  <c r="L34" i="121" s="1"/>
  <c r="K34" i="121" s="1"/>
  <c r="J34" i="121" s="1"/>
  <c r="L33" i="121" s="1"/>
  <c r="K33" i="121" s="1"/>
  <c r="J33" i="121" s="1"/>
  <c r="L32" i="121" s="1"/>
  <c r="K32" i="121" s="1"/>
  <c r="J32" i="121" s="1"/>
  <c r="L31" i="121" s="1"/>
  <c r="K31" i="121" s="1"/>
  <c r="J31" i="121" s="1"/>
  <c r="D26" i="120"/>
  <c r="D25" i="120"/>
  <c r="C25" i="120" s="1"/>
  <c r="J37" i="120"/>
  <c r="I37" i="120"/>
  <c r="K37" i="120" s="1"/>
  <c r="H37" i="120" s="1"/>
  <c r="N37" i="120" s="1"/>
  <c r="C37" i="120"/>
  <c r="E36" i="120"/>
  <c r="D36" i="120"/>
  <c r="I36" i="120" s="1"/>
  <c r="K36" i="120" s="1"/>
  <c r="H36" i="120" s="1"/>
  <c r="N36" i="120" s="1"/>
  <c r="M34" i="120"/>
  <c r="L34" i="120"/>
  <c r="J33" i="120"/>
  <c r="I33" i="120"/>
  <c r="K33" i="120" s="1"/>
  <c r="H33" i="120" s="1"/>
  <c r="N33" i="120" s="1"/>
  <c r="C33" i="120"/>
  <c r="M31" i="120"/>
  <c r="L31" i="120"/>
  <c r="H13" i="120"/>
  <c r="G13" i="120"/>
  <c r="G12" i="120"/>
  <c r="G11" i="120"/>
  <c r="G10" i="120"/>
  <c r="G28" i="119"/>
  <c r="F28" i="119"/>
  <c r="I28" i="119" s="1"/>
  <c r="K28" i="119" s="1"/>
  <c r="H27" i="119"/>
  <c r="N27" i="119" s="1"/>
  <c r="F27" i="119"/>
  <c r="I27" i="119" s="1"/>
  <c r="G26" i="119"/>
  <c r="J26" i="119" s="1"/>
  <c r="H63" i="119"/>
  <c r="H25" i="119"/>
  <c r="N25" i="119" s="1"/>
  <c r="F25" i="119"/>
  <c r="I25" i="119" s="1"/>
  <c r="J37" i="119"/>
  <c r="I37" i="119"/>
  <c r="K37" i="119" s="1"/>
  <c r="H37" i="119" s="1"/>
  <c r="N37" i="119" s="1"/>
  <c r="C37" i="119"/>
  <c r="E36" i="119"/>
  <c r="H40" i="119" s="1"/>
  <c r="D36" i="119"/>
  <c r="I36" i="119" s="1"/>
  <c r="I35" i="119"/>
  <c r="M34" i="119"/>
  <c r="L34" i="119"/>
  <c r="J33" i="119"/>
  <c r="I33" i="119"/>
  <c r="K33" i="119"/>
  <c r="H33" i="119" s="1"/>
  <c r="N33" i="119" s="1"/>
  <c r="C33" i="119"/>
  <c r="M31" i="119"/>
  <c r="L31" i="119"/>
  <c r="C29" i="119"/>
  <c r="C28" i="119"/>
  <c r="C27" i="119"/>
  <c r="C25" i="119"/>
  <c r="D24" i="119"/>
  <c r="J19" i="119"/>
  <c r="H13" i="119"/>
  <c r="G13" i="119"/>
  <c r="G12" i="119"/>
  <c r="G11" i="119"/>
  <c r="G10" i="119"/>
  <c r="E36" i="80"/>
  <c r="J36" i="80"/>
  <c r="D36" i="80"/>
  <c r="I36" i="80" s="1"/>
  <c r="K36" i="80" s="1"/>
  <c r="H36" i="80" s="1"/>
  <c r="N36" i="80" s="1"/>
  <c r="L39" i="118"/>
  <c r="G39" i="118"/>
  <c r="M35" i="118"/>
  <c r="K35" i="118"/>
  <c r="J35" i="118"/>
  <c r="I35" i="118"/>
  <c r="H35" i="118"/>
  <c r="H23" i="118" s="1"/>
  <c r="D35" i="118"/>
  <c r="C35" i="118"/>
  <c r="E25" i="80"/>
  <c r="M26" i="118"/>
  <c r="K26" i="118"/>
  <c r="K23" i="118" s="1"/>
  <c r="J26" i="118"/>
  <c r="N23" i="118"/>
  <c r="M23" i="118"/>
  <c r="D23" i="118"/>
  <c r="C35" i="119"/>
  <c r="L22" i="118"/>
  <c r="G22" i="118"/>
  <c r="N21" i="118"/>
  <c r="M21" i="118"/>
  <c r="K21" i="118"/>
  <c r="J21" i="118"/>
  <c r="H21" i="118"/>
  <c r="F21" i="118"/>
  <c r="E21" i="118"/>
  <c r="C21" i="118"/>
  <c r="G21" i="118" s="1"/>
  <c r="L20" i="118"/>
  <c r="G20" i="118"/>
  <c r="I19" i="118"/>
  <c r="N18" i="118" s="1"/>
  <c r="D19" i="118"/>
  <c r="N17" i="118"/>
  <c r="G18" i="118"/>
  <c r="K17" i="118"/>
  <c r="J17" i="118"/>
  <c r="J19" i="118" s="1"/>
  <c r="H17" i="118"/>
  <c r="H19" i="118" s="1"/>
  <c r="F17" i="118"/>
  <c r="E17" i="118"/>
  <c r="E19" i="118" s="1"/>
  <c r="C17" i="118"/>
  <c r="C19" i="118" s="1"/>
  <c r="I15" i="118"/>
  <c r="L15" i="118" s="1"/>
  <c r="G15" i="118"/>
  <c r="H14" i="118"/>
  <c r="C14" i="118"/>
  <c r="K11" i="118"/>
  <c r="J11" i="118"/>
  <c r="F11" i="118"/>
  <c r="E11" i="118"/>
  <c r="D11" i="118"/>
  <c r="M2" i="118"/>
  <c r="H26" i="80" s="1"/>
  <c r="H27" i="80" s="1"/>
  <c r="H29" i="80" s="1"/>
  <c r="H25" i="80" s="1"/>
  <c r="G26" i="80"/>
  <c r="G27" i="80"/>
  <c r="G28" i="80"/>
  <c r="F26" i="80" s="1"/>
  <c r="F27" i="80" s="1"/>
  <c r="F28" i="80" s="1"/>
  <c r="G25" i="80"/>
  <c r="E34" i="96"/>
  <c r="D30" i="103"/>
  <c r="D43" i="130"/>
  <c r="D41" i="130" s="1"/>
  <c r="F30" i="103"/>
  <c r="F28" i="103" s="1"/>
  <c r="E33" i="96"/>
  <c r="I84" i="95"/>
  <c r="H44" i="115"/>
  <c r="E44" i="115"/>
  <c r="J59" i="95"/>
  <c r="K54" i="95"/>
  <c r="J54" i="95"/>
  <c r="K49" i="95"/>
  <c r="J49" i="95"/>
  <c r="K47" i="95"/>
  <c r="J47" i="95"/>
  <c r="K45" i="95"/>
  <c r="J45" i="95"/>
  <c r="J44" i="95"/>
  <c r="K41" i="95"/>
  <c r="J41" i="95"/>
  <c r="K37" i="95"/>
  <c r="J37" i="95"/>
  <c r="K42" i="95"/>
  <c r="J42" i="95"/>
  <c r="D83" i="95"/>
  <c r="J84" i="95"/>
  <c r="D11" i="87"/>
  <c r="F10" i="87"/>
  <c r="F11" i="87"/>
  <c r="E10" i="87"/>
  <c r="D11" i="112"/>
  <c r="F10" i="112"/>
  <c r="E10" i="112"/>
  <c r="J86" i="95"/>
  <c r="J28" i="95"/>
  <c r="H75" i="95"/>
  <c r="E75" i="95"/>
  <c r="D100" i="99"/>
  <c r="D69" i="99"/>
  <c r="H69" i="99" s="1"/>
  <c r="C69" i="99"/>
  <c r="D71" i="99"/>
  <c r="D24" i="99" s="1"/>
  <c r="C71" i="99"/>
  <c r="H71" i="99"/>
  <c r="D73" i="99"/>
  <c r="C73" i="99"/>
  <c r="C26" i="99" s="1"/>
  <c r="D116" i="99"/>
  <c r="C116" i="99"/>
  <c r="C100" i="99"/>
  <c r="C83" i="99"/>
  <c r="C80" i="99"/>
  <c r="C14" i="99"/>
  <c r="E33" i="124" s="1"/>
  <c r="F24" i="87"/>
  <c r="B24" i="87" s="1"/>
  <c r="F25" i="87"/>
  <c r="E25" i="87"/>
  <c r="B25" i="87" s="1"/>
  <c r="E24" i="87"/>
  <c r="D21" i="87"/>
  <c r="E21" i="87"/>
  <c r="F21" i="87"/>
  <c r="F17" i="87" s="1"/>
  <c r="D22" i="87"/>
  <c r="E22" i="87"/>
  <c r="F22" i="87"/>
  <c r="C22" i="87"/>
  <c r="C18" i="87" s="1"/>
  <c r="C21" i="87"/>
  <c r="C46" i="114"/>
  <c r="H45" i="114"/>
  <c r="H44" i="114"/>
  <c r="H43" i="114"/>
  <c r="H42" i="114"/>
  <c r="H41" i="114"/>
  <c r="H40" i="114"/>
  <c r="H39" i="114"/>
  <c r="D38" i="114"/>
  <c r="H38" i="114"/>
  <c r="K37" i="114"/>
  <c r="J37" i="114"/>
  <c r="D47" i="114"/>
  <c r="C47" i="114"/>
  <c r="H36" i="114"/>
  <c r="G36" i="114"/>
  <c r="F36" i="114"/>
  <c r="H35" i="114"/>
  <c r="D34" i="114"/>
  <c r="C34" i="114"/>
  <c r="H34" i="114" s="1"/>
  <c r="C19" i="114"/>
  <c r="H33" i="114"/>
  <c r="I32" i="114"/>
  <c r="H32" i="114"/>
  <c r="G32" i="114"/>
  <c r="A32" i="114"/>
  <c r="A35" i="114"/>
  <c r="A37" i="114" s="1"/>
  <c r="A38" i="114" s="1"/>
  <c r="A39" i="114" s="1"/>
  <c r="A40" i="114" s="1"/>
  <c r="A41" i="114" s="1"/>
  <c r="A42" i="114" s="1"/>
  <c r="A43" i="114" s="1"/>
  <c r="A44" i="114" s="1"/>
  <c r="C29" i="114"/>
  <c r="H28" i="114"/>
  <c r="D29" i="114"/>
  <c r="H26" i="114"/>
  <c r="H23" i="114"/>
  <c r="H22" i="114"/>
  <c r="D20" i="114"/>
  <c r="H8" i="113"/>
  <c r="G8" i="113"/>
  <c r="J29" i="113"/>
  <c r="J27" i="113"/>
  <c r="H27" i="113"/>
  <c r="B24" i="113"/>
  <c r="B23" i="113"/>
  <c r="B21" i="113"/>
  <c r="B20" i="113"/>
  <c r="J15" i="113"/>
  <c r="I15" i="113"/>
  <c r="I17" i="113" s="1"/>
  <c r="I21" i="113" s="1"/>
  <c r="H15" i="113"/>
  <c r="H17" i="113" s="1"/>
  <c r="I19" i="113" s="1"/>
  <c r="G15" i="113"/>
  <c r="H16" i="113"/>
  <c r="G16" i="113"/>
  <c r="D11" i="113"/>
  <c r="C11" i="113"/>
  <c r="F10" i="113"/>
  <c r="D10" i="113"/>
  <c r="F22" i="112"/>
  <c r="F18" i="112"/>
  <c r="F21" i="112"/>
  <c r="E22" i="112"/>
  <c r="B22" i="112"/>
  <c r="E21" i="112"/>
  <c r="B21" i="112" s="1"/>
  <c r="D27" i="112"/>
  <c r="E102" i="112"/>
  <c r="D102" i="112"/>
  <c r="F31" i="112"/>
  <c r="B31" i="112" s="1"/>
  <c r="C31" i="112"/>
  <c r="F30" i="112"/>
  <c r="C30" i="112"/>
  <c r="B30" i="112" s="1"/>
  <c r="I25" i="112"/>
  <c r="H25" i="112"/>
  <c r="B25" i="112"/>
  <c r="B24" i="112"/>
  <c r="C18" i="112"/>
  <c r="C17" i="112"/>
  <c r="B14" i="112"/>
  <c r="B13" i="112"/>
  <c r="J10" i="112"/>
  <c r="J9" i="112"/>
  <c r="J10" i="87"/>
  <c r="J9" i="87"/>
  <c r="F31" i="87"/>
  <c r="D137" i="99"/>
  <c r="F30" i="87"/>
  <c r="C137" i="99" s="1"/>
  <c r="C31" i="87"/>
  <c r="C30" i="87"/>
  <c r="F12" i="64"/>
  <c r="E26" i="95"/>
  <c r="I23" i="95"/>
  <c r="I22" i="95"/>
  <c r="I24" i="95"/>
  <c r="E29" i="96"/>
  <c r="B10" i="64"/>
  <c r="E10" i="64"/>
  <c r="E23" i="132"/>
  <c r="E24" i="96"/>
  <c r="E15" i="64"/>
  <c r="E14" i="64"/>
  <c r="E13" i="64"/>
  <c r="I19" i="95"/>
  <c r="G8" i="103"/>
  <c r="D28" i="103"/>
  <c r="E16" i="103"/>
  <c r="D16" i="103"/>
  <c r="D14" i="103"/>
  <c r="H42" i="103"/>
  <c r="D10" i="103"/>
  <c r="D114" i="99"/>
  <c r="D26" i="99"/>
  <c r="H73" i="99"/>
  <c r="J62" i="99"/>
  <c r="D22" i="79"/>
  <c r="F33" i="79"/>
  <c r="J11" i="79"/>
  <c r="I11" i="79" s="1"/>
  <c r="F13" i="79"/>
  <c r="F12" i="79"/>
  <c r="F11" i="79"/>
  <c r="F10" i="79"/>
  <c r="F9" i="79"/>
  <c r="E7" i="97"/>
  <c r="F7" i="97"/>
  <c r="G7" i="97"/>
  <c r="D7" i="97"/>
  <c r="I13" i="97"/>
  <c r="I6" i="97"/>
  <c r="H6" i="97"/>
  <c r="H7" i="97"/>
  <c r="E10" i="96"/>
  <c r="E18" i="96"/>
  <c r="I26" i="96"/>
  <c r="I7" i="64"/>
  <c r="F9" i="64"/>
  <c r="H26" i="95"/>
  <c r="J77" i="95" s="1"/>
  <c r="I42" i="96" s="1"/>
  <c r="D29" i="95"/>
  <c r="C31" i="95"/>
  <c r="I25" i="95"/>
  <c r="I15" i="95"/>
  <c r="J15" i="95"/>
  <c r="I12" i="95"/>
  <c r="I10" i="95"/>
  <c r="I8" i="95"/>
  <c r="C12" i="62"/>
  <c r="C11" i="62"/>
  <c r="C14" i="62" s="1"/>
  <c r="C10" i="62"/>
  <c r="C9" i="62"/>
  <c r="G18" i="62"/>
  <c r="H18" i="62" s="1"/>
  <c r="E17" i="62"/>
  <c r="E18" i="62"/>
  <c r="D24" i="79"/>
  <c r="D23" i="79"/>
  <c r="J33" i="79"/>
  <c r="G22" i="79"/>
  <c r="G33" i="79" s="1"/>
  <c r="L9" i="79"/>
  <c r="N9" i="79" s="1"/>
  <c r="E102" i="87"/>
  <c r="D102" i="87"/>
  <c r="B27" i="87"/>
  <c r="I21" i="79"/>
  <c r="I20" i="79"/>
  <c r="F21" i="79"/>
  <c r="F20" i="79"/>
  <c r="H13" i="80"/>
  <c r="G13" i="80"/>
  <c r="G12" i="80"/>
  <c r="G11" i="80"/>
  <c r="G10" i="80"/>
  <c r="F14" i="79"/>
  <c r="L21" i="79"/>
  <c r="L20" i="79"/>
  <c r="J9" i="79"/>
  <c r="J10" i="79"/>
  <c r="J21" i="79"/>
  <c r="K6" i="97"/>
  <c r="K7" i="97" s="1"/>
  <c r="L14" i="97" s="1"/>
  <c r="D34" i="79"/>
  <c r="G26" i="79"/>
  <c r="M34" i="80"/>
  <c r="D33" i="79"/>
  <c r="L34" i="80"/>
  <c r="M31" i="80"/>
  <c r="L31" i="80"/>
  <c r="G24" i="79"/>
  <c r="C35" i="79"/>
  <c r="C36" i="79"/>
  <c r="E9" i="96"/>
  <c r="E31" i="96" s="1"/>
  <c r="E17" i="64"/>
  <c r="M9" i="79"/>
  <c r="G23" i="79"/>
  <c r="K33" i="79" s="1"/>
  <c r="B10" i="87"/>
  <c r="D26" i="79"/>
  <c r="H24" i="79"/>
  <c r="E24" i="79"/>
  <c r="E26" i="79"/>
  <c r="H26" i="79"/>
  <c r="I7" i="79"/>
  <c r="I13" i="79"/>
  <c r="I26" i="79"/>
  <c r="F26" i="79"/>
  <c r="C24" i="99"/>
  <c r="B31" i="87"/>
  <c r="F18" i="87"/>
  <c r="D134" i="99" s="1"/>
  <c r="C37" i="80"/>
  <c r="C36" i="80"/>
  <c r="B30" i="87"/>
  <c r="C17" i="87"/>
  <c r="H12" i="87" s="1"/>
  <c r="D18" i="87"/>
  <c r="E18" i="112"/>
  <c r="D28" i="120"/>
  <c r="B28" i="87"/>
  <c r="H100" i="99"/>
  <c r="H85" i="99"/>
  <c r="D83" i="99"/>
  <c r="D80" i="99" s="1"/>
  <c r="D14" i="99" s="1"/>
  <c r="D33" i="124" s="1"/>
  <c r="H47" i="114"/>
  <c r="H29" i="114"/>
  <c r="H27" i="114"/>
  <c r="H37" i="114"/>
  <c r="B18" i="113"/>
  <c r="E11" i="113"/>
  <c r="C10" i="113"/>
  <c r="B10" i="113" s="1"/>
  <c r="E10" i="113"/>
  <c r="B14" i="113"/>
  <c r="B17" i="113"/>
  <c r="G18" i="113" s="1"/>
  <c r="B15" i="113"/>
  <c r="F11" i="113"/>
  <c r="I16" i="113"/>
  <c r="B27" i="112"/>
  <c r="H29" i="113"/>
  <c r="H30" i="113" s="1"/>
  <c r="I30" i="113" s="1"/>
  <c r="J33" i="80"/>
  <c r="C33" i="80"/>
  <c r="I33" i="80"/>
  <c r="K33" i="80" s="1"/>
  <c r="H33" i="80" s="1"/>
  <c r="N33" i="80" s="1"/>
  <c r="S80" i="95"/>
  <c r="J37" i="80"/>
  <c r="J36" i="120"/>
  <c r="J35" i="119"/>
  <c r="K35" i="119"/>
  <c r="J36" i="119"/>
  <c r="C26" i="119"/>
  <c r="E24" i="119"/>
  <c r="I37" i="80"/>
  <c r="K37" i="80" s="1"/>
  <c r="H37" i="80" s="1"/>
  <c r="N37" i="80" s="1"/>
  <c r="H9" i="121"/>
  <c r="H10" i="121"/>
  <c r="H11" i="121"/>
  <c r="H12" i="121"/>
  <c r="E20" i="121"/>
  <c r="H20" i="121"/>
  <c r="E21" i="121"/>
  <c r="H21" i="121"/>
  <c r="E22" i="121"/>
  <c r="H22" i="121"/>
  <c r="E23" i="121"/>
  <c r="H23" i="121"/>
  <c r="J35" i="123"/>
  <c r="J34" i="123"/>
  <c r="I28" i="123"/>
  <c r="K28" i="123" s="1"/>
  <c r="J28" i="123"/>
  <c r="I31" i="122"/>
  <c r="J32" i="122"/>
  <c r="J35" i="122"/>
  <c r="J36" i="122"/>
  <c r="H28" i="80"/>
  <c r="C25" i="128"/>
  <c r="J38" i="128"/>
  <c r="J39" i="128"/>
  <c r="J32" i="128"/>
  <c r="D24" i="125"/>
  <c r="D34" i="125"/>
  <c r="D34" i="129" s="1"/>
  <c r="J28" i="125"/>
  <c r="K35" i="125"/>
  <c r="H35" i="125"/>
  <c r="N35" i="125"/>
  <c r="K32" i="125"/>
  <c r="H32" i="125"/>
  <c r="N32" i="125"/>
  <c r="K39" i="125"/>
  <c r="H39" i="125" s="1"/>
  <c r="N39" i="125" s="1"/>
  <c r="I23" i="125"/>
  <c r="C25" i="125"/>
  <c r="J25" i="125"/>
  <c r="C26" i="125"/>
  <c r="J26" i="125"/>
  <c r="K26" i="125" s="1"/>
  <c r="C29" i="125"/>
  <c r="C33" i="125"/>
  <c r="J33" i="125"/>
  <c r="J38" i="125"/>
  <c r="D26" i="80"/>
  <c r="D25" i="80"/>
  <c r="C25" i="80" s="1"/>
  <c r="D29" i="80"/>
  <c r="D27" i="80" s="1"/>
  <c r="D28" i="112"/>
  <c r="D17" i="112"/>
  <c r="H46" i="114"/>
  <c r="C20" i="114"/>
  <c r="H32" i="124"/>
  <c r="N32" i="124" s="1"/>
  <c r="F11" i="112"/>
  <c r="E41" i="120"/>
  <c r="E41" i="119"/>
  <c r="O19" i="119" s="1"/>
  <c r="E41" i="80"/>
  <c r="I19" i="120"/>
  <c r="I19" i="80"/>
  <c r="I19" i="119"/>
  <c r="K19" i="119" s="1"/>
  <c r="D32" i="80"/>
  <c r="I32" i="80" s="1"/>
  <c r="I11" i="118"/>
  <c r="C23" i="118"/>
  <c r="H65" i="120"/>
  <c r="C25" i="124"/>
  <c r="C27" i="124"/>
  <c r="C28" i="124"/>
  <c r="E50" i="129"/>
  <c r="E64" i="128"/>
  <c r="E51" i="129"/>
  <c r="E65" i="128"/>
  <c r="E52" i="129"/>
  <c r="E66" i="128"/>
  <c r="F26" i="128" s="1"/>
  <c r="I26" i="128" s="1"/>
  <c r="H67" i="127"/>
  <c r="D37" i="125"/>
  <c r="I37" i="125" s="1"/>
  <c r="C15" i="76"/>
  <c r="D15" i="76" s="1"/>
  <c r="M6" i="97"/>
  <c r="M7" i="97" s="1"/>
  <c r="F17" i="112"/>
  <c r="E11" i="87"/>
  <c r="D84" i="95"/>
  <c r="S84" i="95" s="1"/>
  <c r="H66" i="119"/>
  <c r="C26" i="120"/>
  <c r="H62" i="120"/>
  <c r="E24" i="124"/>
  <c r="E36" i="124" s="1"/>
  <c r="J36" i="124" s="1"/>
  <c r="F55" i="130"/>
  <c r="J55" i="130" s="1"/>
  <c r="K55" i="130" s="1"/>
  <c r="F53" i="130"/>
  <c r="F44" i="130"/>
  <c r="F42" i="130"/>
  <c r="J44" i="130"/>
  <c r="F29" i="130"/>
  <c r="G45" i="130"/>
  <c r="F31" i="130"/>
  <c r="F35" i="130"/>
  <c r="F39" i="130"/>
  <c r="F33" i="130"/>
  <c r="F37" i="130"/>
  <c r="F28" i="130"/>
  <c r="F30" i="130"/>
  <c r="F32" i="130"/>
  <c r="F34" i="130"/>
  <c r="F36" i="130"/>
  <c r="F51" i="130"/>
  <c r="H62" i="130"/>
  <c r="F26" i="130"/>
  <c r="D16" i="135" s="1"/>
  <c r="J23" i="118"/>
  <c r="I24" i="79"/>
  <c r="E29" i="132"/>
  <c r="D25" i="79"/>
  <c r="E23" i="130"/>
  <c r="E45" i="130" s="1"/>
  <c r="E56" i="130"/>
  <c r="E62" i="130" s="1"/>
  <c r="E27" i="130"/>
  <c r="G9" i="132"/>
  <c r="F12" i="132"/>
  <c r="G12" i="132" s="1"/>
  <c r="J78" i="131"/>
  <c r="H65" i="80"/>
  <c r="H28" i="120"/>
  <c r="D86" i="131"/>
  <c r="S86" i="131" s="1"/>
  <c r="H66" i="80"/>
  <c r="G14" i="118"/>
  <c r="C11" i="118"/>
  <c r="G11" i="118" s="1"/>
  <c r="F19" i="118"/>
  <c r="C32" i="121"/>
  <c r="C21" i="121"/>
  <c r="G32" i="121"/>
  <c r="G21" i="121"/>
  <c r="C34" i="121"/>
  <c r="C23" i="121"/>
  <c r="G34" i="121"/>
  <c r="G23" i="121"/>
  <c r="I37" i="124"/>
  <c r="E35" i="129"/>
  <c r="C35" i="127"/>
  <c r="N35" i="128"/>
  <c r="J35" i="128"/>
  <c r="J32" i="127"/>
  <c r="J32" i="129" s="1"/>
  <c r="N38" i="128"/>
  <c r="D38" i="127"/>
  <c r="D38" i="129"/>
  <c r="I38" i="125"/>
  <c r="C38" i="125"/>
  <c r="F25" i="80"/>
  <c r="I25" i="80" s="1"/>
  <c r="H62" i="80"/>
  <c r="L14" i="118"/>
  <c r="H11" i="118"/>
  <c r="K19" i="118"/>
  <c r="L17" i="118"/>
  <c r="F26" i="119"/>
  <c r="I26" i="119" s="1"/>
  <c r="G27" i="119"/>
  <c r="J27" i="119"/>
  <c r="H29" i="119"/>
  <c r="N29" i="119" s="1"/>
  <c r="H28" i="119"/>
  <c r="N28" i="119"/>
  <c r="C31" i="121"/>
  <c r="C20" i="121"/>
  <c r="G31" i="121"/>
  <c r="G20" i="121"/>
  <c r="C33" i="121"/>
  <c r="C22" i="121"/>
  <c r="G33" i="121"/>
  <c r="G22" i="121"/>
  <c r="C35" i="121"/>
  <c r="H24" i="121"/>
  <c r="H66" i="120"/>
  <c r="E33" i="129"/>
  <c r="C33" i="129" s="1"/>
  <c r="N33" i="128"/>
  <c r="L21" i="118"/>
  <c r="D38" i="128"/>
  <c r="I38" i="128" s="1"/>
  <c r="F18" i="135"/>
  <c r="F33" i="135"/>
  <c r="E38" i="135"/>
  <c r="P18" i="118"/>
  <c r="E12" i="135"/>
  <c r="E11" i="135"/>
  <c r="H63" i="120"/>
  <c r="P17" i="118"/>
  <c r="D29" i="120"/>
  <c r="D27" i="120" s="1"/>
  <c r="K25" i="125"/>
  <c r="B10" i="112"/>
  <c r="E11" i="112"/>
  <c r="D28" i="80"/>
  <c r="E25" i="96"/>
  <c r="I10" i="87"/>
  <c r="I11" i="87"/>
  <c r="E25" i="103"/>
  <c r="G36" i="96"/>
  <c r="E28" i="129"/>
  <c r="E24" i="127"/>
  <c r="C26" i="127"/>
  <c r="H65" i="119"/>
  <c r="H64" i="119"/>
  <c r="H64" i="80"/>
  <c r="H64" i="120"/>
  <c r="H62" i="119"/>
  <c r="B35" i="79"/>
  <c r="B36" i="79" s="1"/>
  <c r="F24" i="79"/>
  <c r="C28" i="99"/>
  <c r="D83" i="131" s="1"/>
  <c r="H137" i="99"/>
  <c r="E32" i="120"/>
  <c r="E32" i="80"/>
  <c r="D32" i="120"/>
  <c r="I32" i="120" s="1"/>
  <c r="D32" i="119"/>
  <c r="I32" i="119" s="1"/>
  <c r="I31" i="119" s="1"/>
  <c r="D135" i="99"/>
  <c r="G29" i="122"/>
  <c r="J29" i="122" s="1"/>
  <c r="J28" i="122"/>
  <c r="F29" i="124"/>
  <c r="I29" i="124" s="1"/>
  <c r="H66" i="127"/>
  <c r="F25" i="128"/>
  <c r="I25" i="128" s="1"/>
  <c r="H25" i="87"/>
  <c r="E17" i="87"/>
  <c r="C113" i="99" s="1"/>
  <c r="H28" i="127"/>
  <c r="N28" i="127" s="1"/>
  <c r="H68" i="127"/>
  <c r="C39" i="127"/>
  <c r="C38" i="128"/>
  <c r="E32" i="119"/>
  <c r="J32" i="119" s="1"/>
  <c r="C135" i="99"/>
  <c r="D28" i="99"/>
  <c r="H64" i="125"/>
  <c r="I39" i="128"/>
  <c r="J32" i="80"/>
  <c r="J31" i="80" s="1"/>
  <c r="J32" i="120"/>
  <c r="J31" i="120" s="1"/>
  <c r="D35" i="79"/>
  <c r="M35" i="79"/>
  <c r="D36" i="79"/>
  <c r="M11" i="79"/>
  <c r="E23" i="79"/>
  <c r="F23" i="79" s="1"/>
  <c r="L11" i="79"/>
  <c r="N11" i="79" s="1"/>
  <c r="E22" i="79"/>
  <c r="E25" i="79" s="1"/>
  <c r="H23" i="79"/>
  <c r="I23" i="79" s="1"/>
  <c r="H63" i="80"/>
  <c r="G29" i="80"/>
  <c r="J36" i="79"/>
  <c r="F36" i="79"/>
  <c r="F29" i="132"/>
  <c r="C92" i="144"/>
  <c r="F87" i="144" s="1"/>
  <c r="G29" i="119"/>
  <c r="J29" i="119"/>
  <c r="J28" i="119"/>
  <c r="D27" i="130"/>
  <c r="C32" i="80"/>
  <c r="I38" i="127"/>
  <c r="C38" i="127"/>
  <c r="H20" i="114"/>
  <c r="G20" i="114"/>
  <c r="C21" i="114"/>
  <c r="K33" i="125"/>
  <c r="I34" i="125"/>
  <c r="I31" i="125" s="1"/>
  <c r="H25" i="96"/>
  <c r="J34" i="119"/>
  <c r="I12" i="99"/>
  <c r="K36" i="122"/>
  <c r="H36" i="122" s="1"/>
  <c r="N36" i="122" s="1"/>
  <c r="J34" i="122"/>
  <c r="H35" i="119"/>
  <c r="N35" i="119"/>
  <c r="I25" i="120"/>
  <c r="C66" i="99"/>
  <c r="K29" i="125"/>
  <c r="K28" i="125"/>
  <c r="N39" i="127"/>
  <c r="N39" i="129" s="1"/>
  <c r="E29" i="129"/>
  <c r="C29" i="129" s="1"/>
  <c r="C28" i="127"/>
  <c r="I32" i="127"/>
  <c r="H22" i="79"/>
  <c r="H25" i="79" s="1"/>
  <c r="F25" i="122"/>
  <c r="I25" i="122" s="1"/>
  <c r="H33" i="125"/>
  <c r="N33" i="125" s="1"/>
  <c r="C24" i="114"/>
  <c r="C30" i="114"/>
  <c r="D36" i="124" l="1"/>
  <c r="C36" i="124" s="1"/>
  <c r="C33" i="124"/>
  <c r="I33" i="124"/>
  <c r="I31" i="124" s="1"/>
  <c r="I33" i="127"/>
  <c r="I33" i="129" s="1"/>
  <c r="C33" i="127"/>
  <c r="D24" i="129"/>
  <c r="D37" i="129" s="1"/>
  <c r="I37" i="129" s="1"/>
  <c r="D18" i="112"/>
  <c r="B18" i="112" s="1"/>
  <c r="B28" i="112"/>
  <c r="J31" i="122"/>
  <c r="K32" i="122"/>
  <c r="J6" i="97"/>
  <c r="I7" i="97"/>
  <c r="K32" i="123"/>
  <c r="I31" i="123"/>
  <c r="N27" i="125"/>
  <c r="C27" i="125"/>
  <c r="E24" i="125"/>
  <c r="J27" i="125"/>
  <c r="K27" i="125" s="1"/>
  <c r="F29" i="119"/>
  <c r="I29" i="119" s="1"/>
  <c r="K29" i="119" s="1"/>
  <c r="D24" i="127"/>
  <c r="D37" i="127" s="1"/>
  <c r="I37" i="127" s="1"/>
  <c r="I7" i="112"/>
  <c r="J7" i="112" s="1"/>
  <c r="J33" i="124"/>
  <c r="J31" i="124" s="1"/>
  <c r="N33" i="124"/>
  <c r="N31" i="124" s="1"/>
  <c r="C114" i="99"/>
  <c r="C22" i="99"/>
  <c r="J14" i="103" s="1"/>
  <c r="B11" i="112"/>
  <c r="H2" i="112" s="1"/>
  <c r="B11" i="87"/>
  <c r="F29" i="122"/>
  <c r="I29" i="122" s="1"/>
  <c r="I28" i="122"/>
  <c r="K28" i="122" s="1"/>
  <c r="N26" i="127"/>
  <c r="G62" i="130"/>
  <c r="G71" i="130" s="1"/>
  <c r="I86" i="126"/>
  <c r="I35" i="123"/>
  <c r="C35" i="123"/>
  <c r="C48" i="114"/>
  <c r="T92" i="144"/>
  <c r="F22" i="79"/>
  <c r="F25" i="79" s="1"/>
  <c r="H29" i="127"/>
  <c r="E17" i="112"/>
  <c r="B17" i="112" s="1"/>
  <c r="I6" i="112" s="1"/>
  <c r="J6" i="112" s="1"/>
  <c r="L11" i="118"/>
  <c r="J23" i="125"/>
  <c r="K23" i="125" s="1"/>
  <c r="E28" i="96"/>
  <c r="E30" i="96" s="1"/>
  <c r="E16" i="64"/>
  <c r="D19" i="114"/>
  <c r="J32" i="114"/>
  <c r="I35" i="122"/>
  <c r="C35" i="122"/>
  <c r="N28" i="125"/>
  <c r="N23" i="125" s="1"/>
  <c r="O23" i="125" s="1"/>
  <c r="C28" i="125"/>
  <c r="N32" i="127"/>
  <c r="N32" i="129" s="1"/>
  <c r="E32" i="129"/>
  <c r="C32" i="129" s="1"/>
  <c r="I88" i="126"/>
  <c r="E25" i="167"/>
  <c r="B41" i="167"/>
  <c r="B11" i="113"/>
  <c r="J25" i="80"/>
  <c r="C36" i="120"/>
  <c r="H64" i="122"/>
  <c r="H66" i="124"/>
  <c r="F9" i="103"/>
  <c r="F8" i="103" s="1"/>
  <c r="E18" i="87"/>
  <c r="D113" i="99" s="1"/>
  <c r="H53" i="129"/>
  <c r="C29" i="127"/>
  <c r="C44" i="164"/>
  <c r="J10" i="164"/>
  <c r="D38" i="144"/>
  <c r="E71" i="130"/>
  <c r="D9" i="103"/>
  <c r="C36" i="119"/>
  <c r="H65" i="122"/>
  <c r="N27" i="124"/>
  <c r="H64" i="124"/>
  <c r="H65" i="125"/>
  <c r="J26" i="127"/>
  <c r="K26" i="127" s="1"/>
  <c r="N27" i="128"/>
  <c r="F25" i="130"/>
  <c r="D13" i="135" s="1"/>
  <c r="B20" i="138"/>
  <c r="E9" i="138"/>
  <c r="B9" i="138" s="1"/>
  <c r="F91" i="144"/>
  <c r="E39" i="129"/>
  <c r="C27" i="129"/>
  <c r="H66" i="122"/>
  <c r="H66" i="125"/>
  <c r="H67" i="125"/>
  <c r="F26" i="118"/>
  <c r="L35" i="118"/>
  <c r="D24" i="120"/>
  <c r="J39" i="127"/>
  <c r="K39" i="127" s="1"/>
  <c r="G21" i="167"/>
  <c r="L23" i="118"/>
  <c r="N24" i="118" s="1"/>
  <c r="L26" i="118"/>
  <c r="C32" i="127"/>
  <c r="G20" i="181"/>
  <c r="G10" i="181"/>
  <c r="G9" i="181"/>
  <c r="G18" i="181"/>
  <c r="G25" i="181" s="1"/>
  <c r="I38" i="181" s="1"/>
  <c r="L33" i="79"/>
  <c r="L36" i="79" s="1"/>
  <c r="K36" i="79"/>
  <c r="F23" i="132"/>
  <c r="E20" i="181"/>
  <c r="C32" i="120"/>
  <c r="B21" i="87"/>
  <c r="G25" i="87"/>
  <c r="I22" i="79"/>
  <c r="I25" i="79" s="1"/>
  <c r="H66" i="128"/>
  <c r="I40" i="130"/>
  <c r="D22" i="99"/>
  <c r="D20" i="99" s="1"/>
  <c r="C32" i="128"/>
  <c r="F43" i="130"/>
  <c r="I55" i="130"/>
  <c r="F24" i="130"/>
  <c r="B9" i="133" s="1"/>
  <c r="H68" i="128"/>
  <c r="F26" i="124"/>
  <c r="I26" i="124" s="1"/>
  <c r="I23" i="124" s="1"/>
  <c r="H65" i="128"/>
  <c r="H64" i="128"/>
  <c r="C33" i="128"/>
  <c r="H17" i="87"/>
  <c r="H63" i="123"/>
  <c r="H65" i="123"/>
  <c r="H66" i="123"/>
  <c r="H63" i="124"/>
  <c r="I25" i="127"/>
  <c r="I27" i="128"/>
  <c r="C26" i="129"/>
  <c r="D24" i="128"/>
  <c r="D37" i="128" s="1"/>
  <c r="I37" i="128" s="1"/>
  <c r="I36" i="128" s="1"/>
  <c r="M3" i="118"/>
  <c r="K25" i="80"/>
  <c r="I5" i="149"/>
  <c r="I31" i="120"/>
  <c r="K32" i="120"/>
  <c r="E89" i="144"/>
  <c r="C89" i="174"/>
  <c r="E89" i="174"/>
  <c r="K33" i="124"/>
  <c r="K31" i="124" s="1"/>
  <c r="D24" i="80"/>
  <c r="K28" i="127"/>
  <c r="J28" i="127" s="1"/>
  <c r="D82" i="95"/>
  <c r="D80" i="95" s="1"/>
  <c r="D17" i="87"/>
  <c r="J23" i="132"/>
  <c r="D32" i="135"/>
  <c r="D19" i="135" s="1"/>
  <c r="G19" i="135" s="1"/>
  <c r="D67" i="99"/>
  <c r="F56" i="130"/>
  <c r="F26" i="123"/>
  <c r="I26" i="123" s="1"/>
  <c r="K26" i="123" s="1"/>
  <c r="C28" i="129"/>
  <c r="G25" i="79"/>
  <c r="K35" i="128"/>
  <c r="C35" i="129"/>
  <c r="E28" i="132"/>
  <c r="H67" i="128"/>
  <c r="H64" i="127"/>
  <c r="H52" i="129"/>
  <c r="H51" i="129"/>
  <c r="H50" i="129"/>
  <c r="J28" i="124"/>
  <c r="K28" i="124" s="1"/>
  <c r="K39" i="128"/>
  <c r="C35" i="128"/>
  <c r="C67" i="99"/>
  <c r="C64" i="99" s="1"/>
  <c r="B22" i="87"/>
  <c r="N25" i="80"/>
  <c r="K29" i="123"/>
  <c r="H65" i="127"/>
  <c r="N26" i="129"/>
  <c r="C39" i="129"/>
  <c r="M15" i="118"/>
  <c r="E81" i="131"/>
  <c r="F88" i="131" s="1"/>
  <c r="F9" i="167"/>
  <c r="V21" i="167"/>
  <c r="E42" i="128"/>
  <c r="J19" i="128" s="1"/>
  <c r="K19" i="128" s="1"/>
  <c r="E41" i="122"/>
  <c r="E41" i="123"/>
  <c r="E42" i="124"/>
  <c r="E26" i="118"/>
  <c r="B24" i="167"/>
  <c r="E20" i="167"/>
  <c r="J39" i="129"/>
  <c r="N35" i="129"/>
  <c r="K33" i="128"/>
  <c r="J33" i="129"/>
  <c r="K33" i="129" s="1"/>
  <c r="O19" i="128"/>
  <c r="F92" i="144"/>
  <c r="G94" i="144"/>
  <c r="J38" i="129"/>
  <c r="K38" i="127"/>
  <c r="J35" i="124"/>
  <c r="K37" i="124"/>
  <c r="H37" i="124" s="1"/>
  <c r="N37" i="124" s="1"/>
  <c r="I36" i="124"/>
  <c r="K32" i="127"/>
  <c r="D34" i="127"/>
  <c r="I34" i="127" s="1"/>
  <c r="E42" i="127"/>
  <c r="H41" i="124"/>
  <c r="E85" i="131"/>
  <c r="E86" i="131" s="1"/>
  <c r="E37" i="128"/>
  <c r="K38" i="125"/>
  <c r="H38" i="125" s="1"/>
  <c r="N38" i="125" s="1"/>
  <c r="E38" i="129"/>
  <c r="C38" i="129" s="1"/>
  <c r="J35" i="127"/>
  <c r="C37" i="124"/>
  <c r="G17" i="118"/>
  <c r="D34" i="128"/>
  <c r="I34" i="128" s="1"/>
  <c r="N33" i="127"/>
  <c r="N38" i="127"/>
  <c r="N38" i="129" s="1"/>
  <c r="F10" i="167"/>
  <c r="L33" i="164"/>
  <c r="J22" i="164"/>
  <c r="I36" i="125"/>
  <c r="I20" i="125" s="1"/>
  <c r="G19" i="118"/>
  <c r="O17" i="118"/>
  <c r="O18" i="118"/>
  <c r="L19" i="118"/>
  <c r="L18" i="118" s="1"/>
  <c r="S85" i="131"/>
  <c r="A21" i="145"/>
  <c r="A22" i="145" s="1"/>
  <c r="A23" i="145" s="1"/>
  <c r="A25" i="145" s="1"/>
  <c r="A29" i="145" s="1"/>
  <c r="F31" i="145"/>
  <c r="K38" i="128"/>
  <c r="I38" i="129"/>
  <c r="K38" i="129" s="1"/>
  <c r="G36" i="79"/>
  <c r="H33" i="79"/>
  <c r="E24" i="129"/>
  <c r="I39" i="129"/>
  <c r="H62" i="122"/>
  <c r="H63" i="122"/>
  <c r="I25" i="87"/>
  <c r="B26" i="113"/>
  <c r="H26" i="113" s="1"/>
  <c r="H11" i="113"/>
  <c r="J28" i="113"/>
  <c r="B27" i="113"/>
  <c r="H3" i="113" s="1"/>
  <c r="H2" i="99" s="1"/>
  <c r="D63" i="99" s="1"/>
  <c r="J30" i="113"/>
  <c r="J14" i="113"/>
  <c r="I26" i="129"/>
  <c r="K26" i="128"/>
  <c r="C134" i="99"/>
  <c r="C132" i="99" s="1"/>
  <c r="B17" i="87"/>
  <c r="B13" i="87" s="1"/>
  <c r="H16" i="99" s="1"/>
  <c r="C111" i="99"/>
  <c r="D66" i="99"/>
  <c r="D64" i="99" s="1"/>
  <c r="B18" i="87"/>
  <c r="B14" i="87" s="1"/>
  <c r="H18" i="87"/>
  <c r="P19" i="79"/>
  <c r="D132" i="99"/>
  <c r="D131" i="99" s="1"/>
  <c r="D123" i="99" s="1"/>
  <c r="D122" i="99" s="1"/>
  <c r="D121" i="99" s="1"/>
  <c r="N23" i="122"/>
  <c r="K29" i="122"/>
  <c r="J23" i="123"/>
  <c r="J20" i="123" s="1"/>
  <c r="K27" i="123"/>
  <c r="J23" i="124"/>
  <c r="J20" i="124" s="1"/>
  <c r="C20" i="99"/>
  <c r="K27" i="124"/>
  <c r="H67" i="124"/>
  <c r="I34" i="119"/>
  <c r="K36" i="119"/>
  <c r="K26" i="119"/>
  <c r="F29" i="147"/>
  <c r="K27" i="119"/>
  <c r="H26" i="119" s="1"/>
  <c r="N26" i="119" s="1"/>
  <c r="N23" i="119" s="1"/>
  <c r="G25" i="119" s="1"/>
  <c r="J25" i="119" s="1"/>
  <c r="I26" i="120"/>
  <c r="I23" i="122"/>
  <c r="K25" i="122"/>
  <c r="K25" i="123"/>
  <c r="D85" i="95"/>
  <c r="E80" i="95" s="1"/>
  <c r="K25" i="124"/>
  <c r="G16" i="135"/>
  <c r="D18" i="135"/>
  <c r="K32" i="80"/>
  <c r="I31" i="80"/>
  <c r="G23" i="132"/>
  <c r="G28" i="132" s="1"/>
  <c r="F28" i="132"/>
  <c r="C10" i="133" s="1"/>
  <c r="C19" i="99"/>
  <c r="D58" i="130"/>
  <c r="D45" i="130"/>
  <c r="I23" i="127"/>
  <c r="K25" i="127"/>
  <c r="I25" i="129"/>
  <c r="N25" i="129"/>
  <c r="I27" i="129"/>
  <c r="K27" i="127"/>
  <c r="K28" i="128"/>
  <c r="H29" i="128"/>
  <c r="N28" i="128"/>
  <c r="N28" i="129" s="1"/>
  <c r="K27" i="128"/>
  <c r="I23" i="128"/>
  <c r="D48" i="135"/>
  <c r="G48" i="135" s="1"/>
  <c r="J60" i="130"/>
  <c r="K60" i="130" s="1"/>
  <c r="I60" i="130"/>
  <c r="K29" i="124"/>
  <c r="F23" i="130"/>
  <c r="J23" i="122"/>
  <c r="J20" i="122" s="1"/>
  <c r="N23" i="123"/>
  <c r="N23" i="124"/>
  <c r="J27" i="129"/>
  <c r="N27" i="129"/>
  <c r="I31" i="127"/>
  <c r="K32" i="119"/>
  <c r="J31" i="119"/>
  <c r="D111" i="99"/>
  <c r="J25" i="129"/>
  <c r="J26" i="129"/>
  <c r="K26" i="129" s="1"/>
  <c r="K25" i="128"/>
  <c r="K32" i="128"/>
  <c r="I31" i="128"/>
  <c r="I32" i="129"/>
  <c r="D12" i="135"/>
  <c r="G13" i="135"/>
  <c r="K26" i="122"/>
  <c r="I26" i="80"/>
  <c r="E25" i="145"/>
  <c r="C32" i="119"/>
  <c r="I27" i="80"/>
  <c r="C89" i="144"/>
  <c r="F29" i="120"/>
  <c r="I29" i="120" s="1"/>
  <c r="I28" i="120"/>
  <c r="F29" i="80"/>
  <c r="I29" i="80" s="1"/>
  <c r="I28" i="80"/>
  <c r="I23" i="119"/>
  <c r="K25" i="120"/>
  <c r="G29" i="120"/>
  <c r="I22" i="113"/>
  <c r="K26" i="120"/>
  <c r="I27" i="120"/>
  <c r="J11" i="164" l="1"/>
  <c r="D44" i="164"/>
  <c r="K33" i="127"/>
  <c r="E21" i="167"/>
  <c r="U21" i="167" s="1"/>
  <c r="B25" i="167"/>
  <c r="I34" i="122"/>
  <c r="K35" i="122"/>
  <c r="N29" i="127"/>
  <c r="N23" i="127" s="1"/>
  <c r="K29" i="127"/>
  <c r="J29" i="127" s="1"/>
  <c r="J23" i="127" s="1"/>
  <c r="J7" i="97"/>
  <c r="L6" i="97"/>
  <c r="L7" i="97" s="1"/>
  <c r="I1" i="87"/>
  <c r="D19" i="99"/>
  <c r="D17" i="99" s="1"/>
  <c r="K26" i="124"/>
  <c r="K35" i="123"/>
  <c r="I34" i="123"/>
  <c r="H32" i="122"/>
  <c r="N32" i="122" s="1"/>
  <c r="N31" i="122" s="1"/>
  <c r="K31" i="122"/>
  <c r="H1" i="112"/>
  <c r="I23" i="123"/>
  <c r="H1" i="87"/>
  <c r="O25" i="125"/>
  <c r="H2" i="113"/>
  <c r="H1" i="99" s="1"/>
  <c r="C63" i="99" s="1"/>
  <c r="G63" i="99" s="1"/>
  <c r="E34" i="128"/>
  <c r="H19" i="114"/>
  <c r="G21" i="114"/>
  <c r="D21" i="114"/>
  <c r="E42" i="125"/>
  <c r="E34" i="125" s="1"/>
  <c r="K31" i="123"/>
  <c r="H32" i="123"/>
  <c r="N32" i="123" s="1"/>
  <c r="N31" i="123" s="1"/>
  <c r="E29" i="80"/>
  <c r="E29" i="120"/>
  <c r="J29" i="120" s="1"/>
  <c r="K29" i="120" s="1"/>
  <c r="F35" i="118"/>
  <c r="G26" i="181"/>
  <c r="D9" i="133"/>
  <c r="B11" i="133"/>
  <c r="D35" i="135"/>
  <c r="F41" i="130"/>
  <c r="F58" i="130" s="1"/>
  <c r="D51" i="135" s="1"/>
  <c r="E25" i="181"/>
  <c r="E26" i="181" s="1"/>
  <c r="O25" i="127"/>
  <c r="O25" i="123"/>
  <c r="I56" i="130"/>
  <c r="J56" i="130" s="1"/>
  <c r="D47" i="135"/>
  <c r="G47" i="135" s="1"/>
  <c r="K31" i="120"/>
  <c r="H32" i="120"/>
  <c r="N32" i="120" s="1"/>
  <c r="N31" i="120" s="1"/>
  <c r="H64" i="99"/>
  <c r="K39" i="129"/>
  <c r="H67" i="99"/>
  <c r="E94" i="131"/>
  <c r="E90" i="131"/>
  <c r="E95" i="131" s="1"/>
  <c r="J19" i="123"/>
  <c r="O19" i="123"/>
  <c r="O19" i="122"/>
  <c r="J19" i="122"/>
  <c r="O19" i="124"/>
  <c r="J19" i="124"/>
  <c r="K26" i="79"/>
  <c r="E16" i="79"/>
  <c r="E28" i="120"/>
  <c r="E35" i="118"/>
  <c r="E23" i="118" s="1"/>
  <c r="G26" i="118"/>
  <c r="E28" i="80"/>
  <c r="B20" i="167"/>
  <c r="E9" i="167"/>
  <c r="E42" i="129"/>
  <c r="E37" i="129" s="1"/>
  <c r="C37" i="129" s="1"/>
  <c r="I34" i="129"/>
  <c r="M4" i="118"/>
  <c r="M14" i="118"/>
  <c r="K35" i="127"/>
  <c r="J35" i="129"/>
  <c r="K35" i="129" s="1"/>
  <c r="N34" i="128"/>
  <c r="N31" i="128" s="1"/>
  <c r="J34" i="128"/>
  <c r="C34" i="128"/>
  <c r="K36" i="124"/>
  <c r="I35" i="124"/>
  <c r="I20" i="124" s="1"/>
  <c r="K20" i="124" s="1"/>
  <c r="I36" i="129"/>
  <c r="N33" i="129"/>
  <c r="J37" i="128"/>
  <c r="C37" i="128"/>
  <c r="N37" i="128"/>
  <c r="N36" i="128" s="1"/>
  <c r="E37" i="127"/>
  <c r="O19" i="127"/>
  <c r="E34" i="127"/>
  <c r="H42" i="127" s="1"/>
  <c r="J19" i="127"/>
  <c r="K19" i="127" s="1"/>
  <c r="F96" i="144"/>
  <c r="F101" i="144" s="1"/>
  <c r="F100" i="144"/>
  <c r="H42" i="128"/>
  <c r="Q10" i="167"/>
  <c r="L34" i="164"/>
  <c r="J36" i="164"/>
  <c r="J37" i="164" s="1"/>
  <c r="J23" i="164"/>
  <c r="N19" i="118"/>
  <c r="Q18" i="118"/>
  <c r="Q17" i="118"/>
  <c r="M19" i="118"/>
  <c r="I36" i="127"/>
  <c r="I20" i="127" s="1"/>
  <c r="O25" i="124"/>
  <c r="I6" i="87"/>
  <c r="O19" i="129"/>
  <c r="H36" i="79"/>
  <c r="M33" i="79"/>
  <c r="M36" i="79" s="1"/>
  <c r="J7" i="113"/>
  <c r="J3" i="113"/>
  <c r="J6" i="113"/>
  <c r="J31" i="113"/>
  <c r="C17" i="99"/>
  <c r="H2" i="87"/>
  <c r="I16" i="99"/>
  <c r="D110" i="99" s="1"/>
  <c r="D16" i="99" s="1"/>
  <c r="J2" i="99" s="1"/>
  <c r="I7" i="87"/>
  <c r="I23" i="120"/>
  <c r="J23" i="119"/>
  <c r="J20" i="119" s="1"/>
  <c r="K25" i="119"/>
  <c r="K34" i="119"/>
  <c r="H36" i="119"/>
  <c r="N36" i="119" s="1"/>
  <c r="N34" i="119" s="1"/>
  <c r="J25" i="145"/>
  <c r="G12" i="135"/>
  <c r="H32" i="119"/>
  <c r="N32" i="119" s="1"/>
  <c r="K31" i="119"/>
  <c r="I20" i="128"/>
  <c r="J28" i="128"/>
  <c r="K28" i="129"/>
  <c r="D10" i="133"/>
  <c r="C11" i="133"/>
  <c r="J131" i="99"/>
  <c r="K23" i="124"/>
  <c r="O23" i="124" s="1"/>
  <c r="H12" i="99"/>
  <c r="S85" i="95"/>
  <c r="E84" i="95"/>
  <c r="E85" i="95" s="1"/>
  <c r="E30" i="145"/>
  <c r="E31" i="145" s="1"/>
  <c r="K27" i="129"/>
  <c r="K23" i="127"/>
  <c r="K32" i="129"/>
  <c r="I31" i="129"/>
  <c r="H111" i="99"/>
  <c r="K29" i="128"/>
  <c r="N29" i="128"/>
  <c r="I23" i="129"/>
  <c r="K25" i="129"/>
  <c r="C131" i="99"/>
  <c r="C123" i="99" s="1"/>
  <c r="C122" i="99" s="1"/>
  <c r="C121" i="99" s="1"/>
  <c r="H132" i="99"/>
  <c r="K31" i="80"/>
  <c r="H32" i="80"/>
  <c r="N32" i="80" s="1"/>
  <c r="N31" i="80" s="1"/>
  <c r="F87" i="95"/>
  <c r="I20" i="123"/>
  <c r="K20" i="123" s="1"/>
  <c r="K23" i="123"/>
  <c r="O23" i="123" s="1"/>
  <c r="K23" i="122"/>
  <c r="O23" i="122" s="1"/>
  <c r="I20" i="122"/>
  <c r="K20" i="122" s="1"/>
  <c r="I23" i="80"/>
  <c r="I20" i="119"/>
  <c r="F9" i="130"/>
  <c r="C34" i="125" l="1"/>
  <c r="J34" i="125"/>
  <c r="N19" i="123"/>
  <c r="H35" i="122"/>
  <c r="N35" i="122" s="1"/>
  <c r="N34" i="122" s="1"/>
  <c r="N19" i="122" s="1"/>
  <c r="P23" i="122" s="1"/>
  <c r="K34" i="122"/>
  <c r="Q19" i="122" s="1"/>
  <c r="O23" i="127"/>
  <c r="K23" i="119"/>
  <c r="O23" i="119" s="1"/>
  <c r="D11" i="133"/>
  <c r="J2" i="113"/>
  <c r="E37" i="125"/>
  <c r="J19" i="125"/>
  <c r="K19" i="125" s="1"/>
  <c r="O19" i="125"/>
  <c r="H42" i="125"/>
  <c r="D24" i="114"/>
  <c r="H21" i="114"/>
  <c r="K34" i="123"/>
  <c r="Q19" i="123" s="1"/>
  <c r="H35" i="123"/>
  <c r="N35" i="123" s="1"/>
  <c r="N34" i="123" s="1"/>
  <c r="E10" i="167"/>
  <c r="B10" i="167" s="1"/>
  <c r="B21" i="167"/>
  <c r="D102" i="99"/>
  <c r="J110" i="99" s="1"/>
  <c r="J19" i="129"/>
  <c r="K19" i="129" s="1"/>
  <c r="E34" i="129"/>
  <c r="C34" i="129" s="1"/>
  <c r="F23" i="118"/>
  <c r="G23" i="118" s="1"/>
  <c r="E27" i="120"/>
  <c r="E24" i="120" s="1"/>
  <c r="E27" i="80"/>
  <c r="C29" i="80"/>
  <c r="J29" i="80"/>
  <c r="K29" i="80" s="1"/>
  <c r="N29" i="80"/>
  <c r="C29" i="120"/>
  <c r="N29" i="120"/>
  <c r="K20" i="119"/>
  <c r="I21" i="119" s="1"/>
  <c r="F45" i="130"/>
  <c r="I12" i="135" s="1"/>
  <c r="J12" i="79"/>
  <c r="K24" i="79"/>
  <c r="M24" i="79" s="1"/>
  <c r="K23" i="79"/>
  <c r="M23" i="79" s="1"/>
  <c r="K21" i="79"/>
  <c r="M21" i="79" s="1"/>
  <c r="K22" i="79"/>
  <c r="M22" i="79" s="1"/>
  <c r="K20" i="79"/>
  <c r="J28" i="80"/>
  <c r="K28" i="80" s="1"/>
  <c r="N28" i="80"/>
  <c r="C28" i="80"/>
  <c r="E26" i="80"/>
  <c r="G35" i="118"/>
  <c r="J37" i="129"/>
  <c r="C28" i="120"/>
  <c r="N28" i="120"/>
  <c r="J28" i="120"/>
  <c r="B9" i="167"/>
  <c r="P10" i="167"/>
  <c r="J34" i="127"/>
  <c r="N34" i="127"/>
  <c r="C34" i="127"/>
  <c r="N37" i="127"/>
  <c r="N36" i="127" s="1"/>
  <c r="C37" i="127"/>
  <c r="J37" i="127"/>
  <c r="J36" i="128"/>
  <c r="K37" i="128"/>
  <c r="K36" i="128" s="1"/>
  <c r="K35" i="124"/>
  <c r="Q19" i="124" s="1"/>
  <c r="H36" i="124"/>
  <c r="N36" i="124" s="1"/>
  <c r="N35" i="124" s="1"/>
  <c r="N19" i="124" s="1"/>
  <c r="P23" i="124" s="1"/>
  <c r="J31" i="128"/>
  <c r="K34" i="128"/>
  <c r="K31" i="128" s="1"/>
  <c r="L36" i="164"/>
  <c r="D45" i="164" s="1"/>
  <c r="D46" i="164" s="1"/>
  <c r="H42" i="129"/>
  <c r="I20" i="129"/>
  <c r="J29" i="128"/>
  <c r="J29" i="129" s="1"/>
  <c r="K29" i="129"/>
  <c r="J28" i="129"/>
  <c r="D43" i="96"/>
  <c r="E93" i="95"/>
  <c r="E19" i="64" s="1"/>
  <c r="E20" i="64" s="1"/>
  <c r="E21" i="64" s="1"/>
  <c r="C89" i="95"/>
  <c r="H131" i="99"/>
  <c r="N29" i="129"/>
  <c r="N23" i="129" s="1"/>
  <c r="N23" i="128"/>
  <c r="D13" i="99"/>
  <c r="D11" i="99" s="1"/>
  <c r="D8" i="99" s="1"/>
  <c r="H7" i="87" s="1"/>
  <c r="J7" i="87" s="1"/>
  <c r="N31" i="119"/>
  <c r="N19" i="119" s="1"/>
  <c r="Q19" i="119"/>
  <c r="C110" i="99"/>
  <c r="P23" i="123"/>
  <c r="I9" i="130"/>
  <c r="G9" i="130"/>
  <c r="H9" i="130"/>
  <c r="G10" i="130"/>
  <c r="I10" i="130"/>
  <c r="I12" i="130" s="1"/>
  <c r="D35" i="120"/>
  <c r="D35" i="80"/>
  <c r="H123" i="99" l="1"/>
  <c r="D78" i="99"/>
  <c r="I102" i="99" s="1"/>
  <c r="D30" i="114"/>
  <c r="H24" i="114"/>
  <c r="C37" i="125"/>
  <c r="J37" i="125"/>
  <c r="P23" i="119"/>
  <c r="J23" i="128"/>
  <c r="J31" i="125"/>
  <c r="K34" i="125"/>
  <c r="E35" i="80"/>
  <c r="J35" i="80" s="1"/>
  <c r="J34" i="80" s="1"/>
  <c r="M24" i="118"/>
  <c r="E35" i="120"/>
  <c r="J35" i="120" s="1"/>
  <c r="J34" i="120" s="1"/>
  <c r="C27" i="120"/>
  <c r="J27" i="120"/>
  <c r="K27" i="120" s="1"/>
  <c r="N27" i="120"/>
  <c r="N23" i="120" s="1"/>
  <c r="J27" i="80"/>
  <c r="K27" i="80" s="1"/>
  <c r="C27" i="80"/>
  <c r="N27" i="80"/>
  <c r="N38" i="164"/>
  <c r="I36" i="164" s="1"/>
  <c r="J8" i="79"/>
  <c r="I8" i="79" s="1"/>
  <c r="I12" i="79"/>
  <c r="M20" i="79"/>
  <c r="M25" i="79" s="1"/>
  <c r="O25" i="79" s="1"/>
  <c r="C39" i="79" s="1"/>
  <c r="D39" i="79" s="1"/>
  <c r="D42" i="79" s="1"/>
  <c r="K25" i="79"/>
  <c r="K37" i="129"/>
  <c r="J36" i="129"/>
  <c r="J23" i="120"/>
  <c r="K28" i="120"/>
  <c r="E24" i="80"/>
  <c r="J26" i="80"/>
  <c r="C26" i="80"/>
  <c r="N26" i="80"/>
  <c r="N23" i="80" s="1"/>
  <c r="C37" i="79" s="1"/>
  <c r="D37" i="79" s="1"/>
  <c r="O10" i="167"/>
  <c r="J34" i="129"/>
  <c r="J31" i="127"/>
  <c r="K34" i="127"/>
  <c r="K31" i="127" s="1"/>
  <c r="N20" i="127" s="1"/>
  <c r="J36" i="127"/>
  <c r="J20" i="127" s="1"/>
  <c r="K20" i="127" s="1"/>
  <c r="I21" i="127" s="1"/>
  <c r="K37" i="127"/>
  <c r="K36" i="127" s="1"/>
  <c r="N34" i="129"/>
  <c r="N31" i="129" s="1"/>
  <c r="N31" i="127"/>
  <c r="N19" i="127" s="1"/>
  <c r="K24" i="130"/>
  <c r="E11" i="103"/>
  <c r="J23" i="129"/>
  <c r="C102" i="99"/>
  <c r="C78" i="99" s="1"/>
  <c r="N20" i="128"/>
  <c r="N19" i="128"/>
  <c r="O25" i="128"/>
  <c r="I40" i="96"/>
  <c r="E94" i="95"/>
  <c r="E38" i="96" s="1"/>
  <c r="H38" i="96"/>
  <c r="H14" i="99"/>
  <c r="C16" i="99"/>
  <c r="O25" i="129"/>
  <c r="J20" i="128"/>
  <c r="K20" i="128" s="1"/>
  <c r="I21" i="128" s="1"/>
  <c r="K23" i="128"/>
  <c r="O23" i="128" s="1"/>
  <c r="H10" i="130"/>
  <c r="I35" i="130"/>
  <c r="I43" i="130"/>
  <c r="I44" i="130"/>
  <c r="I36" i="130"/>
  <c r="I29" i="130"/>
  <c r="I51" i="130"/>
  <c r="I30" i="130"/>
  <c r="I24" i="130"/>
  <c r="I33" i="130"/>
  <c r="I26" i="130"/>
  <c r="I37" i="130"/>
  <c r="I32" i="130"/>
  <c r="I31" i="130"/>
  <c r="I25" i="130"/>
  <c r="I28" i="130"/>
  <c r="I38" i="130"/>
  <c r="I39" i="130"/>
  <c r="I34" i="130"/>
  <c r="J9" i="130"/>
  <c r="J10" i="130" s="1"/>
  <c r="J12" i="130" s="1"/>
  <c r="J40" i="130" s="1"/>
  <c r="I35" i="120"/>
  <c r="I35" i="80"/>
  <c r="C35" i="80"/>
  <c r="D60" i="99" l="1"/>
  <c r="C35" i="120"/>
  <c r="D76" i="99"/>
  <c r="J36" i="125"/>
  <c r="J20" i="125" s="1"/>
  <c r="K20" i="125" s="1"/>
  <c r="I21" i="125" s="1"/>
  <c r="K37" i="125"/>
  <c r="D48" i="114"/>
  <c r="H30" i="114"/>
  <c r="H34" i="125"/>
  <c r="N34" i="125" s="1"/>
  <c r="N31" i="125" s="1"/>
  <c r="K31" i="125"/>
  <c r="E40" i="80"/>
  <c r="E40" i="120"/>
  <c r="J20" i="120"/>
  <c r="K23" i="120"/>
  <c r="O23" i="120" s="1"/>
  <c r="K36" i="129"/>
  <c r="H37" i="129"/>
  <c r="N37" i="129" s="1"/>
  <c r="N36" i="129" s="1"/>
  <c r="J23" i="80"/>
  <c r="K26" i="80"/>
  <c r="I7" i="147"/>
  <c r="P23" i="127"/>
  <c r="J31" i="129"/>
  <c r="J20" i="129" s="1"/>
  <c r="K20" i="129" s="1"/>
  <c r="I21" i="129" s="1"/>
  <c r="K34" i="129"/>
  <c r="K31" i="129" s="1"/>
  <c r="P20" i="127"/>
  <c r="K23" i="129"/>
  <c r="O23" i="129" s="1"/>
  <c r="H110" i="99"/>
  <c r="C76" i="99"/>
  <c r="K87" i="174" s="1"/>
  <c r="K92" i="174" s="1"/>
  <c r="H102" i="99"/>
  <c r="C60" i="99"/>
  <c r="C58" i="99" s="1"/>
  <c r="C55" i="99" s="1"/>
  <c r="H63" i="99" s="1"/>
  <c r="P23" i="128"/>
  <c r="P20" i="128"/>
  <c r="C13" i="99"/>
  <c r="J16" i="99"/>
  <c r="G16" i="99"/>
  <c r="J1" i="99"/>
  <c r="J63" i="99"/>
  <c r="D58" i="99"/>
  <c r="D55" i="99" s="1"/>
  <c r="E39" i="96"/>
  <c r="E40" i="96" s="1"/>
  <c r="G40" i="96"/>
  <c r="J34" i="130"/>
  <c r="J32" i="130"/>
  <c r="I23" i="130"/>
  <c r="J24" i="130"/>
  <c r="J36" i="130"/>
  <c r="I41" i="130"/>
  <c r="I58" i="130" s="1"/>
  <c r="J43" i="130"/>
  <c r="J41" i="130" s="1"/>
  <c r="J58" i="130" s="1"/>
  <c r="K9" i="130"/>
  <c r="K10" i="130" s="1"/>
  <c r="K12" i="130" s="1"/>
  <c r="J39" i="130"/>
  <c r="I27" i="130"/>
  <c r="J28" i="130"/>
  <c r="J31" i="130"/>
  <c r="J37" i="130"/>
  <c r="J33" i="130"/>
  <c r="J30" i="130"/>
  <c r="J29" i="130"/>
  <c r="J35" i="130"/>
  <c r="J38" i="130"/>
  <c r="J25" i="130"/>
  <c r="J26" i="130"/>
  <c r="I34" i="80"/>
  <c r="I20" i="80" s="1"/>
  <c r="K35" i="80"/>
  <c r="I34" i="120"/>
  <c r="I20" i="120" s="1"/>
  <c r="K20" i="120" s="1"/>
  <c r="K35" i="120"/>
  <c r="I2" i="87" l="1"/>
  <c r="H48" i="114"/>
  <c r="H37" i="125"/>
  <c r="N37" i="125" s="1"/>
  <c r="N36" i="125" s="1"/>
  <c r="N20" i="125" s="1"/>
  <c r="K36" i="125"/>
  <c r="Q19" i="125" s="1"/>
  <c r="H40" i="80"/>
  <c r="O19" i="80"/>
  <c r="J19" i="80"/>
  <c r="K19" i="80" s="1"/>
  <c r="O19" i="120"/>
  <c r="J19" i="120"/>
  <c r="K19" i="120" s="1"/>
  <c r="I21" i="120" s="1"/>
  <c r="H40" i="120"/>
  <c r="Q19" i="129"/>
  <c r="S19" i="129" s="1"/>
  <c r="J20" i="80"/>
  <c r="K23" i="80"/>
  <c r="O23" i="80" s="1"/>
  <c r="K20" i="80"/>
  <c r="O36" i="129"/>
  <c r="N19" i="129"/>
  <c r="P23" i="129" s="1"/>
  <c r="Q20" i="128"/>
  <c r="O31" i="129"/>
  <c r="N20" i="129"/>
  <c r="L35" i="164"/>
  <c r="C45" i="164" s="1"/>
  <c r="C46" i="164" s="1"/>
  <c r="C11" i="99"/>
  <c r="C8" i="99" s="1"/>
  <c r="G12" i="99"/>
  <c r="I41" i="96"/>
  <c r="K87" i="144"/>
  <c r="K92" i="144" s="1"/>
  <c r="J81" i="131"/>
  <c r="J86" i="131" s="1"/>
  <c r="J80" i="95"/>
  <c r="J85" i="95" s="1"/>
  <c r="K40" i="130"/>
  <c r="K36" i="130"/>
  <c r="K33" i="130"/>
  <c r="K30" i="130"/>
  <c r="K29" i="130"/>
  <c r="K35" i="130"/>
  <c r="K34" i="130"/>
  <c r="K32" i="130"/>
  <c r="K43" i="130"/>
  <c r="K39" i="130"/>
  <c r="K28" i="130"/>
  <c r="K31" i="130"/>
  <c r="K37" i="130"/>
  <c r="K44" i="130"/>
  <c r="J27" i="130"/>
  <c r="J23" i="130"/>
  <c r="I45" i="130"/>
  <c r="K34" i="120"/>
  <c r="Q19" i="120" s="1"/>
  <c r="H35" i="120"/>
  <c r="N35" i="120" s="1"/>
  <c r="N34" i="120" s="1"/>
  <c r="N19" i="120" s="1"/>
  <c r="P23" i="120" s="1"/>
  <c r="K34" i="80"/>
  <c r="Q19" i="80" s="1"/>
  <c r="H35" i="80"/>
  <c r="N35" i="80" s="1"/>
  <c r="N34" i="80" s="1"/>
  <c r="N19" i="80" s="1"/>
  <c r="N19" i="125" l="1"/>
  <c r="P23" i="125" s="1"/>
  <c r="I21" i="80"/>
  <c r="P23" i="80"/>
  <c r="P20" i="129"/>
  <c r="P19" i="129"/>
  <c r="H6" i="87"/>
  <c r="J6" i="87" s="1"/>
  <c r="J8" i="99"/>
  <c r="G14" i="99"/>
  <c r="J45" i="130"/>
  <c r="K27" i="130"/>
  <c r="K41" i="130"/>
  <c r="K58" i="130" s="1"/>
  <c r="C37" i="145" l="1"/>
  <c r="G19" i="145" s="1"/>
  <c r="G26" i="145" l="1"/>
  <c r="G18" i="145"/>
  <c r="G10" i="145"/>
  <c r="G23" i="145"/>
  <c r="G27" i="145"/>
  <c r="G22" i="145"/>
  <c r="G15" i="145"/>
  <c r="G25" i="145"/>
  <c r="G7" i="145"/>
  <c r="G24" i="145"/>
  <c r="G21" i="145"/>
  <c r="G20" i="145"/>
  <c r="G9" i="145"/>
  <c r="G12" i="145"/>
  <c r="G11" i="145"/>
  <c r="G8" i="145"/>
  <c r="G13" i="145"/>
  <c r="G16" i="145"/>
  <c r="G14" i="145"/>
  <c r="E30" i="103" l="1"/>
  <c r="E28" i="103" s="1"/>
  <c r="G30" i="145"/>
  <c r="G31" i="145"/>
  <c r="E46" i="103" l="1"/>
  <c r="I30" i="145"/>
  <c r="E43" i="103"/>
  <c r="K25" i="130" l="1"/>
  <c r="K23" i="130" s="1"/>
  <c r="E12" i="103"/>
  <c r="E10" i="103" s="1"/>
  <c r="K26" i="130" l="1"/>
  <c r="K45" i="130" s="1"/>
  <c r="E13" i="103"/>
  <c r="E42" i="103" s="1"/>
  <c r="N56" i="130" l="1"/>
  <c r="K56" i="130"/>
  <c r="I42" i="103"/>
  <c r="L13" i="79" l="1"/>
  <c r="J20" i="79" l="1"/>
  <c r="J14" i="79" l="1"/>
  <c r="J7" i="79"/>
  <c r="J13" i="79" s="1"/>
  <c r="K7" i="79" s="1"/>
  <c r="K13" i="79" s="1"/>
  <c r="K12" i="79" l="1"/>
  <c r="K9" i="79"/>
  <c r="K11" i="79"/>
  <c r="K8" i="79"/>
  <c r="K10" i="79"/>
  <c r="J24" i="79" l="1"/>
  <c r="J22" i="79"/>
  <c r="J23" i="79"/>
  <c r="E40" i="103" l="1"/>
  <c r="F54" i="130" l="1"/>
  <c r="J46" i="103"/>
  <c r="D40" i="103"/>
  <c r="E38" i="103"/>
  <c r="E33" i="103" s="1"/>
  <c r="D46" i="103" l="1"/>
  <c r="I46" i="103" s="1"/>
  <c r="D38" i="103"/>
  <c r="D54" i="130"/>
  <c r="D52" i="130" s="1"/>
  <c r="D62" i="130" s="1"/>
  <c r="D71" i="130" s="1"/>
  <c r="I54" i="130"/>
  <c r="D45" i="135"/>
  <c r="D43" i="135" s="1"/>
  <c r="D38" i="135" s="1"/>
  <c r="K54" i="130"/>
  <c r="K52" i="130" s="1"/>
  <c r="K62" i="130" s="1"/>
  <c r="F52" i="130"/>
  <c r="F62" i="130" s="1"/>
  <c r="D33" i="103" l="1"/>
  <c r="D8" i="103" s="1"/>
  <c r="H5" i="103" s="1"/>
  <c r="F71" i="130"/>
  <c r="I38" i="135"/>
  <c r="I52" i="130"/>
  <c r="I62" i="130" s="1"/>
  <c r="I71" i="130" s="1"/>
  <c r="J54" i="130"/>
  <c r="J52" i="130" s="1"/>
  <c r="J62" i="130" s="1"/>
  <c r="J71" i="130" s="1"/>
  <c r="G38" i="135"/>
  <c r="D11" i="135"/>
  <c r="G11" i="135" s="1"/>
  <c r="K68" i="130" l="1"/>
  <c r="K71" i="130" s="1"/>
  <c r="J11" i="135"/>
  <c r="D15" i="65"/>
  <c r="E27" i="103" l="1"/>
  <c r="E14" i="103" s="1"/>
  <c r="E9" i="103" s="1"/>
  <c r="E8" i="103" s="1"/>
  <c r="J5" i="103" l="1"/>
  <c r="I19" i="124"/>
  <c r="K19" i="124" s="1"/>
  <c r="I21" i="124" s="1"/>
  <c r="I19" i="122"/>
  <c r="K19" i="122" s="1"/>
  <c r="I21" i="122" s="1"/>
  <c r="I19" i="123"/>
  <c r="K19" i="123" s="1"/>
  <c r="I21" i="123" s="1"/>
  <c r="B22" i="79"/>
  <c r="B24" i="79" l="1"/>
  <c r="C24" i="79" s="1"/>
  <c r="L24" i="79" s="1"/>
  <c r="N12" i="79"/>
  <c r="C22" i="79"/>
  <c r="C23" i="79"/>
  <c r="L23" i="79" s="1"/>
  <c r="C15" i="65"/>
  <c r="C25" i="79" l="1"/>
  <c r="M12" i="79"/>
  <c r="L22" i="79"/>
  <c r="L25" i="79" s="1"/>
  <c r="N25" i="79" s="1"/>
  <c r="B20" i="79"/>
  <c r="B21" i="79"/>
  <c r="B26" i="79" l="1"/>
  <c r="C26" i="79" s="1"/>
  <c r="E43" i="79" s="1"/>
  <c r="H8" i="103"/>
  <c r="K8" i="103" s="1"/>
  <c r="B25" i="79"/>
  <c r="D43" i="79" l="1"/>
</calcChain>
</file>

<file path=xl/comments1.xml><?xml version="1.0" encoding="utf-8"?>
<comments xmlns="http://schemas.openxmlformats.org/spreadsheetml/2006/main">
  <authors>
    <author>Пользователь</author>
  </authors>
  <commentList>
    <comment ref="E38" authorId="0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по приказу 84 от 29.12.2010 г. м.б. п.35
</t>
        </r>
      </text>
    </comment>
    <comment ref="I38" authorId="0">
      <text>
        <r>
          <rPr>
            <b/>
            <sz val="9"/>
            <color indexed="81"/>
            <rFont val="Tahoma"/>
            <family val="2"/>
            <charset val="204"/>
          </rPr>
          <t>Пользователь:</t>
        </r>
        <r>
          <rPr>
            <sz val="9"/>
            <color indexed="81"/>
            <rFont val="Tahoma"/>
            <family val="2"/>
            <charset val="204"/>
          </rPr>
          <t xml:space="preserve">
по приказу 84 от 29.12.2010 г. м.б. п.174.
</t>
        </r>
      </text>
    </comment>
  </commentList>
</comments>
</file>

<file path=xl/sharedStrings.xml><?xml version="1.0" encoding="utf-8"?>
<sst xmlns="http://schemas.openxmlformats.org/spreadsheetml/2006/main" count="6617" uniqueCount="2073">
  <si>
    <t xml:space="preserve">2.7.1. </t>
  </si>
  <si>
    <t xml:space="preserve">процент выплаты                       </t>
  </si>
  <si>
    <t xml:space="preserve">2.7.2. </t>
  </si>
  <si>
    <t xml:space="preserve">сумма выплат                          </t>
  </si>
  <si>
    <t xml:space="preserve">2.8.   </t>
  </si>
  <si>
    <t xml:space="preserve">2.8.1. </t>
  </si>
  <si>
    <t xml:space="preserve">2.8.2. </t>
  </si>
  <si>
    <t xml:space="preserve">2.9.   </t>
  </si>
  <si>
    <t xml:space="preserve">Вознаграждение за выслугу лет         </t>
  </si>
  <si>
    <t xml:space="preserve">2.9.1. </t>
  </si>
  <si>
    <t xml:space="preserve">2.9.2. </t>
  </si>
  <si>
    <t xml:space="preserve">2.10.  </t>
  </si>
  <si>
    <t xml:space="preserve">Выплаты по итогам года                </t>
  </si>
  <si>
    <t>2.10.1.</t>
  </si>
  <si>
    <t>2.10.2.</t>
  </si>
  <si>
    <t xml:space="preserve">2.11.  </t>
  </si>
  <si>
    <t>2.11.1.</t>
  </si>
  <si>
    <t>2.11.2.</t>
  </si>
  <si>
    <t xml:space="preserve">2.12.  </t>
  </si>
  <si>
    <t>Итого среднемесячная оплата труда на 1 работника</t>
  </si>
  <si>
    <t xml:space="preserve">3.     </t>
  </si>
  <si>
    <t>Расчет средств  на  оплату  труда  ППП (включенного в себестоимость)</t>
  </si>
  <si>
    <t xml:space="preserve">3.1.   </t>
  </si>
  <si>
    <t>Льготный проезд к месту отдыха</t>
  </si>
  <si>
    <t>тыс. руб.</t>
  </si>
  <si>
    <t xml:space="preserve">3.2.   </t>
  </si>
  <si>
    <t>По Постановлению от 03.11.94 N 1206</t>
  </si>
  <si>
    <t xml:space="preserve">3.3.   </t>
  </si>
  <si>
    <t>Итого средства на оплату труда ППП</t>
  </si>
  <si>
    <t xml:space="preserve">4.     </t>
  </si>
  <si>
    <t>Расчет   средств   на   оплату   труда непромышленного персонала (включенного в балансовую прибыль)</t>
  </si>
  <si>
    <t xml:space="preserve">4.1.   </t>
  </si>
  <si>
    <t>Численность, принятая для расчета (базовый период - фактическая)</t>
  </si>
  <si>
    <t xml:space="preserve">4.2.   </t>
  </si>
  <si>
    <t>Среднемесячная оплата труда на 1работника</t>
  </si>
  <si>
    <t xml:space="preserve">4.3.   </t>
  </si>
  <si>
    <t xml:space="preserve">Льготный проезд к месту отдыха        </t>
  </si>
  <si>
    <t xml:space="preserve">4.4.   </t>
  </si>
  <si>
    <t xml:space="preserve">По Постановлению от 03.11.94 N 1206   </t>
  </si>
  <si>
    <t xml:space="preserve">4.5.   </t>
  </si>
  <si>
    <t>Итого   средства   на  оплату    труда непромышленного персонала</t>
  </si>
  <si>
    <t xml:space="preserve">5.     </t>
  </si>
  <si>
    <t xml:space="preserve">Расчет по денежным выплатам           </t>
  </si>
  <si>
    <t xml:space="preserve">5.1.   </t>
  </si>
  <si>
    <t>Численность всего, принятая для расчета (базовый период - фактическая)</t>
  </si>
  <si>
    <t xml:space="preserve">5.2.   </t>
  </si>
  <si>
    <t xml:space="preserve">Денежные выплаты на 1 работника       </t>
  </si>
  <si>
    <t xml:space="preserve">5.3.   </t>
  </si>
  <si>
    <t xml:space="preserve">Итого по денежным выплатам            </t>
  </si>
  <si>
    <t xml:space="preserve">6.     </t>
  </si>
  <si>
    <t xml:space="preserve">Итого средства на потребление         </t>
  </si>
  <si>
    <t xml:space="preserve">7.     </t>
  </si>
  <si>
    <t xml:space="preserve">Среднемесячный доход на 1 работника   </t>
  </si>
  <si>
    <t>Таблица N П1.17</t>
  </si>
  <si>
    <t>п/п</t>
  </si>
  <si>
    <t xml:space="preserve">1. </t>
  </si>
  <si>
    <t>Ввод основных производственных фондов</t>
  </si>
  <si>
    <t>Выбытие основных производственных фондов</t>
  </si>
  <si>
    <t>Средняя за отчетный период стоимость основных производственных фондов</t>
  </si>
  <si>
    <t>Средняя норма амортизации</t>
  </si>
  <si>
    <t>Сумма амортизационных отчислений</t>
  </si>
  <si>
    <t>2.1.</t>
  </si>
  <si>
    <t>2.2.</t>
  </si>
  <si>
    <t>2.3.</t>
  </si>
  <si>
    <t>2.4.</t>
  </si>
  <si>
    <t>2.5.</t>
  </si>
  <si>
    <t>2.6.</t>
  </si>
  <si>
    <t>2.7.</t>
  </si>
  <si>
    <t>2.8.</t>
  </si>
  <si>
    <t>2.9.</t>
  </si>
  <si>
    <t>2.10.</t>
  </si>
  <si>
    <t>Наименование</t>
  </si>
  <si>
    <t xml:space="preserve"> Средства на страхование      </t>
  </si>
  <si>
    <t>(свод)</t>
  </si>
  <si>
    <t>АУП, относящегося к передаче эл.энергии</t>
  </si>
  <si>
    <t>всего</t>
  </si>
  <si>
    <t>1.</t>
  </si>
  <si>
    <t>2.</t>
  </si>
  <si>
    <t>3.</t>
  </si>
  <si>
    <t>4.</t>
  </si>
  <si>
    <t>5.</t>
  </si>
  <si>
    <t>6.</t>
  </si>
  <si>
    <t>7.</t>
  </si>
  <si>
    <t>8.</t>
  </si>
  <si>
    <t>тыс.руб.</t>
  </si>
  <si>
    <t>СН</t>
  </si>
  <si>
    <t>1.3.</t>
  </si>
  <si>
    <t>%</t>
  </si>
  <si>
    <t>5.1.</t>
  </si>
  <si>
    <t>5.2.</t>
  </si>
  <si>
    <t>руб./МВт.ч</t>
  </si>
  <si>
    <t>6.1.</t>
  </si>
  <si>
    <t>6.2.</t>
  </si>
  <si>
    <t>6.3.</t>
  </si>
  <si>
    <t>1.1.1.</t>
  </si>
  <si>
    <t>1.1.2.</t>
  </si>
  <si>
    <t>…</t>
  </si>
  <si>
    <t>3.2.</t>
  </si>
  <si>
    <t>3.3.</t>
  </si>
  <si>
    <t>руб./МВт.мес.</t>
  </si>
  <si>
    <t>в том числе</t>
  </si>
  <si>
    <t>-</t>
  </si>
  <si>
    <t>Таблица № П2.1</t>
  </si>
  <si>
    <t xml:space="preserve">Напряжение, кВ </t>
  </si>
  <si>
    <t>Количество цепей на опоре</t>
  </si>
  <si>
    <t>Материал опор</t>
  </si>
  <si>
    <t>Количество условных единиц (у) на 100 км трассы ЛЭП</t>
  </si>
  <si>
    <t>Протяженность</t>
  </si>
  <si>
    <t>Объем условных единиц</t>
  </si>
  <si>
    <t>у/100км</t>
  </si>
  <si>
    <t>км</t>
  </si>
  <si>
    <t>у</t>
  </si>
  <si>
    <t>ВЛЭП</t>
  </si>
  <si>
    <t>металл</t>
  </si>
  <si>
    <t>400-500</t>
  </si>
  <si>
    <t>ж/бетон</t>
  </si>
  <si>
    <t>дерево</t>
  </si>
  <si>
    <t>110-150</t>
  </si>
  <si>
    <t>КЛЭП</t>
  </si>
  <si>
    <t xml:space="preserve"> 1 - 20 </t>
  </si>
  <si>
    <t>дерево на ж/б пасынках</t>
  </si>
  <si>
    <t>ж/бетон, металл</t>
  </si>
  <si>
    <t xml:space="preserve"> 20 -35</t>
  </si>
  <si>
    <t xml:space="preserve"> 3 - 10</t>
  </si>
  <si>
    <t>СН, всего</t>
  </si>
  <si>
    <t xml:space="preserve">0,4 кВ </t>
  </si>
  <si>
    <t xml:space="preserve">до 1 кВ </t>
  </si>
  <si>
    <t>НН, всего</t>
  </si>
  <si>
    <t>Таблица № П2.2</t>
  </si>
  <si>
    <t>Единица измерения</t>
  </si>
  <si>
    <t>Количество условных единиц (у) на единицу измерения</t>
  </si>
  <si>
    <t>Количество единиц измерения</t>
  </si>
  <si>
    <t>у/ед.изм.</t>
  </si>
  <si>
    <t>ед.изм.</t>
  </si>
  <si>
    <t>7=5*6</t>
  </si>
  <si>
    <t>Подстанция</t>
  </si>
  <si>
    <t>П/ст</t>
  </si>
  <si>
    <t xml:space="preserve"> 400 - 500</t>
  </si>
  <si>
    <t xml:space="preserve"> 110 - 150</t>
  </si>
  <si>
    <t>Силовой трансформатор или реактор (одно- или трехфазный), или вольтодобавочный трансформатор</t>
  </si>
  <si>
    <t>Единица оборудования</t>
  </si>
  <si>
    <t xml:space="preserve"> 1 - 20</t>
  </si>
  <si>
    <t>Воздушный выключатель</t>
  </si>
  <si>
    <t>3 фазы</t>
  </si>
  <si>
    <t xml:space="preserve"> - " -</t>
  </si>
  <si>
    <t>Отделитель с короткозамыкателем</t>
  </si>
  <si>
    <t>Выключатель нагрузки</t>
  </si>
  <si>
    <t>Синхронный компенсатор мощн. 50 Мвар</t>
  </si>
  <si>
    <t>То же, 50 Мвар и более</t>
  </si>
  <si>
    <t>Статические конденсаторы</t>
  </si>
  <si>
    <t>100 конд.</t>
  </si>
  <si>
    <t>Мачтовая (столбовая) ТП</t>
  </si>
  <si>
    <t>ТП</t>
  </si>
  <si>
    <t>Однотрансфор-маторная ТП, КТП</t>
  </si>
  <si>
    <t>ТП, КТП</t>
  </si>
  <si>
    <t>Двухтрансформаторная ТП, КТП</t>
  </si>
  <si>
    <t>п/ст</t>
  </si>
  <si>
    <t>14.</t>
  </si>
  <si>
    <t>Итого</t>
  </si>
  <si>
    <t>Общее количество у.е.</t>
  </si>
  <si>
    <t>Количество у.е. по СН II</t>
  </si>
  <si>
    <t xml:space="preserve">Количество у.е. по НН </t>
  </si>
  <si>
    <t xml:space="preserve">                                </t>
  </si>
  <si>
    <t>Количество у.е. по ВН</t>
  </si>
  <si>
    <t>Количество у.е. по СН I</t>
  </si>
  <si>
    <t xml:space="preserve">Показатели        </t>
  </si>
  <si>
    <t xml:space="preserve">Базовый период   </t>
  </si>
  <si>
    <t>1.4.1.</t>
  </si>
  <si>
    <t>1.4.2.</t>
  </si>
  <si>
    <t xml:space="preserve"> </t>
  </si>
  <si>
    <t>Масляный выключатель</t>
  </si>
  <si>
    <t>ВН, всего</t>
  </si>
  <si>
    <t>7 = 5 * 6 /100</t>
  </si>
  <si>
    <t xml:space="preserve">тыс.руб.  </t>
  </si>
  <si>
    <t>Баланс электрической энергии по сетям ВН, СН1, СН11 и НН</t>
  </si>
  <si>
    <t xml:space="preserve">Базовый период    </t>
  </si>
  <si>
    <t>Поступление эл. энергии в сеть, ВСЕГО</t>
  </si>
  <si>
    <t xml:space="preserve">1.1. </t>
  </si>
  <si>
    <t xml:space="preserve">из смежной сети, всего   </t>
  </si>
  <si>
    <t xml:space="preserve">в том числе из сети      </t>
  </si>
  <si>
    <t xml:space="preserve">ВН                       </t>
  </si>
  <si>
    <t xml:space="preserve">СН1                      </t>
  </si>
  <si>
    <t xml:space="preserve">СН11                     </t>
  </si>
  <si>
    <t xml:space="preserve">1.2. </t>
  </si>
  <si>
    <t xml:space="preserve">1.3. </t>
  </si>
  <si>
    <t>поступление эл.энергии от других организаций</t>
  </si>
  <si>
    <t>Потери электроэнергии   в сети</t>
  </si>
  <si>
    <t xml:space="preserve">Расход электроэнергии  на производственные  </t>
  </si>
  <si>
    <t>и хозяйственные нужды</t>
  </si>
  <si>
    <t xml:space="preserve">Полезный отпуск из сети  </t>
  </si>
  <si>
    <t>потребителям оптового</t>
  </si>
  <si>
    <t xml:space="preserve">рынка                    </t>
  </si>
  <si>
    <t xml:space="preserve">4.3. </t>
  </si>
  <si>
    <t>сальдо переток в   другие</t>
  </si>
  <si>
    <t xml:space="preserve">организации              </t>
  </si>
  <si>
    <t>в т.ч.собственным потребителям ЭСО, из них:</t>
  </si>
  <si>
    <t xml:space="preserve">потребителям, присоединенным к  центру питания на генераторном напряжении          </t>
  </si>
  <si>
    <t>Таблица N П 1.4</t>
  </si>
  <si>
    <t>Таблица N П 1.5</t>
  </si>
  <si>
    <t>МВт</t>
  </si>
  <si>
    <t>Поступление   мощности  в сеть, ВСЕГО</t>
  </si>
  <si>
    <t xml:space="preserve">из смежной сети         </t>
  </si>
  <si>
    <t xml:space="preserve">от других организаций   </t>
  </si>
  <si>
    <t xml:space="preserve">Потери в сети            </t>
  </si>
  <si>
    <t xml:space="preserve">то же в %               </t>
  </si>
  <si>
    <t>Мощность на производственные</t>
  </si>
  <si>
    <t xml:space="preserve">и хозяйственные нужды     </t>
  </si>
  <si>
    <t>Полезный отпуск  мощности</t>
  </si>
  <si>
    <t xml:space="preserve">потребителям            </t>
  </si>
  <si>
    <t>заявленная    (расчетная)</t>
  </si>
  <si>
    <t>мощность     потребителей</t>
  </si>
  <si>
    <t xml:space="preserve">оптового рынка          </t>
  </si>
  <si>
    <t xml:space="preserve">в другие организации    </t>
  </si>
  <si>
    <t>Баланс электрической мощности по сетям ВН, СН1, СН11 и НН</t>
  </si>
  <si>
    <t>1.4.</t>
  </si>
  <si>
    <t>в т.ч. заявленная (расчетная) мощность собственных потребителей, пользующихся региональными электрическими сетями</t>
  </si>
  <si>
    <t>в т.ч. из ВН</t>
  </si>
  <si>
    <t>СН I</t>
  </si>
  <si>
    <t>СН II</t>
  </si>
  <si>
    <t>11.</t>
  </si>
  <si>
    <t>9.</t>
  </si>
  <si>
    <t>10.</t>
  </si>
  <si>
    <t>12.</t>
  </si>
  <si>
    <t>14.1.</t>
  </si>
  <si>
    <t>15.</t>
  </si>
  <si>
    <t>руб.</t>
  </si>
  <si>
    <t>1.6.</t>
  </si>
  <si>
    <t>Исполнитель</t>
  </si>
  <si>
    <t>Обосновывающий документ</t>
  </si>
  <si>
    <t>№</t>
  </si>
  <si>
    <t>Премия месячная</t>
  </si>
  <si>
    <t>ООО "СамараЭСКО"</t>
  </si>
  <si>
    <t>Экспертиза технологических потерь электрической энергии</t>
  </si>
  <si>
    <t>Приложение № 1</t>
  </si>
  <si>
    <t>Согласовано:</t>
  </si>
  <si>
    <t>Руководитель</t>
  </si>
  <si>
    <t>Харитонова Л. С.</t>
  </si>
  <si>
    <t xml:space="preserve">Расчет расходов на оплату труда </t>
  </si>
  <si>
    <t>Расчет амортизационных отчислений</t>
  </si>
  <si>
    <t xml:space="preserve">на восстановление основных производственных фондов </t>
  </si>
  <si>
    <t>Объем подстанций 35-1150 кВ, трансформаторных подстанций (ТП), комплексных трансформаторных подстанций (КТП) и распределительных пунктов(РП) 0,4-20 кВ в условных единицах</t>
  </si>
  <si>
    <t xml:space="preserve">Расчет амортизационных отчислений </t>
  </si>
  <si>
    <t>Балансовая (остаточная) стоимость основных производственных фондов на начало периода регулирования</t>
  </si>
  <si>
    <t>Первоначальная стоимость основных производственных фондов на начало периода регулирования</t>
  </si>
  <si>
    <t xml:space="preserve">Выплаты, связанные с режимом работы с условиями труда 1 работника </t>
  </si>
  <si>
    <t>Выплаты по  районному  коэффициенту  и северные надбавки</t>
  </si>
  <si>
    <t>Платежное поручение</t>
  </si>
  <si>
    <t>Статьи затрат</t>
  </si>
  <si>
    <t>ИТОГО</t>
  </si>
  <si>
    <t>потери</t>
  </si>
  <si>
    <t>то же в % (п. 2/п. 1)</t>
  </si>
  <si>
    <t>в т.ч.</t>
  </si>
  <si>
    <t>9.1.</t>
  </si>
  <si>
    <t>9.2.</t>
  </si>
  <si>
    <t>9.3.</t>
  </si>
  <si>
    <t>Лечение и оздоровление работников и членов семей работников</t>
  </si>
  <si>
    <t>Материальная помощь (к отпуску, по заявлениям и т.д.)</t>
  </si>
  <si>
    <t>Главный бухгалтер</t>
  </si>
  <si>
    <t>Дедюрина Н.В.</t>
  </si>
  <si>
    <t>Теплоэнергия</t>
  </si>
  <si>
    <t>проверка</t>
  </si>
  <si>
    <t>Инв. №</t>
  </si>
  <si>
    <t xml:space="preserve">       </t>
  </si>
  <si>
    <t xml:space="preserve">без НДС </t>
  </si>
  <si>
    <t>Наименование работ и услуг</t>
  </si>
  <si>
    <t>Услуги сторонних организаций</t>
  </si>
  <si>
    <t>Примечание:</t>
  </si>
  <si>
    <t>по участку передачи электрической энергии</t>
  </si>
  <si>
    <t>2009 г.</t>
  </si>
  <si>
    <t>2010 г.</t>
  </si>
  <si>
    <t>Объем воздушных линий электропередач (ВЛЭП) и кабельных линий электропередач (КЛЭП)</t>
  </si>
  <si>
    <t xml:space="preserve">использования и материала опор.  </t>
  </si>
  <si>
    <t xml:space="preserve">в условных единицах в зависимости от протяженности, напряжения, конструктивного </t>
  </si>
  <si>
    <t xml:space="preserve">п.п. </t>
  </si>
  <si>
    <t>Период регулирования</t>
  </si>
  <si>
    <t xml:space="preserve">ВН </t>
  </si>
  <si>
    <t>СН1</t>
  </si>
  <si>
    <t>СН11</t>
  </si>
  <si>
    <t xml:space="preserve">НН </t>
  </si>
  <si>
    <t>Всего</t>
  </si>
  <si>
    <t>НН</t>
  </si>
  <si>
    <t xml:space="preserve">%    </t>
  </si>
  <si>
    <t>млн. кВт.ч</t>
  </si>
  <si>
    <t xml:space="preserve">Период регулирования </t>
  </si>
  <si>
    <t xml:space="preserve">1.  </t>
  </si>
  <si>
    <t xml:space="preserve">2.   </t>
  </si>
  <si>
    <t xml:space="preserve">3.   </t>
  </si>
  <si>
    <t xml:space="preserve">4.   </t>
  </si>
  <si>
    <t xml:space="preserve">4.1. </t>
  </si>
  <si>
    <t xml:space="preserve">4.2. </t>
  </si>
  <si>
    <t>п.п.</t>
  </si>
  <si>
    <t xml:space="preserve">Показатели       </t>
  </si>
  <si>
    <t>ВН</t>
  </si>
  <si>
    <t>1.1.</t>
  </si>
  <si>
    <t>1.2.</t>
  </si>
  <si>
    <t xml:space="preserve">2.  </t>
  </si>
  <si>
    <t xml:space="preserve">3.  </t>
  </si>
  <si>
    <t xml:space="preserve">4.  </t>
  </si>
  <si>
    <t>4.1.</t>
  </si>
  <si>
    <t>4.2.</t>
  </si>
  <si>
    <t>4.3.</t>
  </si>
  <si>
    <t>3.1.</t>
  </si>
  <si>
    <t>Таблица N П1.13</t>
  </si>
  <si>
    <t xml:space="preserve">Период регулирования   </t>
  </si>
  <si>
    <t xml:space="preserve">Наименование показателя        </t>
  </si>
  <si>
    <t xml:space="preserve">из них на ремонт                       </t>
  </si>
  <si>
    <t xml:space="preserve">Затраты на оплату труда                </t>
  </si>
  <si>
    <t xml:space="preserve">Амортизация основных средств           </t>
  </si>
  <si>
    <t>13.</t>
  </si>
  <si>
    <t>Базовый период</t>
  </si>
  <si>
    <t>Таблица N П1.16</t>
  </si>
  <si>
    <t xml:space="preserve">N   </t>
  </si>
  <si>
    <t xml:space="preserve">Показатели               </t>
  </si>
  <si>
    <t>Ед. изм.</t>
  </si>
  <si>
    <t xml:space="preserve">1.     </t>
  </si>
  <si>
    <t xml:space="preserve">Численность                           </t>
  </si>
  <si>
    <t xml:space="preserve">Численность ППП                       </t>
  </si>
  <si>
    <t xml:space="preserve">чел.  </t>
  </si>
  <si>
    <t xml:space="preserve">2.     </t>
  </si>
  <si>
    <t xml:space="preserve">Средняя оплата труда                  </t>
  </si>
  <si>
    <t xml:space="preserve">2.1.   </t>
  </si>
  <si>
    <t xml:space="preserve">Тарифная ставка рабочего 1 разряда    </t>
  </si>
  <si>
    <t xml:space="preserve">руб.  </t>
  </si>
  <si>
    <t xml:space="preserve">2.2.   </t>
  </si>
  <si>
    <t xml:space="preserve">Дефлятор по заработной плате          </t>
  </si>
  <si>
    <t xml:space="preserve">2.3.   </t>
  </si>
  <si>
    <t>Тарифная ставка  рабочего  1 разряда с учетом дефлятора</t>
  </si>
  <si>
    <t xml:space="preserve">2.4.   </t>
  </si>
  <si>
    <t xml:space="preserve">Средняя ступень оплаты                </t>
  </si>
  <si>
    <t xml:space="preserve">2.5.   </t>
  </si>
  <si>
    <t xml:space="preserve">Тарифный коэффициент, соответствующий ступени по оплате труда </t>
  </si>
  <si>
    <t xml:space="preserve">2.6.   </t>
  </si>
  <si>
    <t xml:space="preserve">Среднемесячная тарифная ставка ППП    </t>
  </si>
  <si>
    <t xml:space="preserve">- " -  </t>
  </si>
  <si>
    <t xml:space="preserve">2.7.   </t>
  </si>
  <si>
    <t>.</t>
  </si>
  <si>
    <t>часов в год</t>
  </si>
  <si>
    <t>Уровень напряжения</t>
  </si>
  <si>
    <t>Ставка за содержание электрических сетей</t>
  </si>
  <si>
    <t xml:space="preserve">Ставка </t>
  </si>
  <si>
    <t>Тариф на услуги по передаче электрической энергии</t>
  </si>
  <si>
    <t>за оплату потерь электрической энергии в сетях</t>
  </si>
  <si>
    <r>
      <t>Т</t>
    </r>
    <r>
      <rPr>
        <b/>
        <vertAlign val="superscript"/>
        <sz val="11"/>
        <rFont val="Times New Roman"/>
        <family val="1"/>
        <charset val="204"/>
      </rPr>
      <t>СОД</t>
    </r>
  </si>
  <si>
    <r>
      <t>Т</t>
    </r>
    <r>
      <rPr>
        <b/>
        <vertAlign val="superscript"/>
        <sz val="11"/>
        <rFont val="Times New Roman"/>
        <family val="1"/>
        <charset val="204"/>
      </rPr>
      <t>ПОТ</t>
    </r>
  </si>
  <si>
    <t>руб./МВт.ч.</t>
  </si>
  <si>
    <t>Расчет доли НВВ на потребителя</t>
  </si>
  <si>
    <t>МВт.ч</t>
  </si>
  <si>
    <t>собств.потреб.</t>
  </si>
  <si>
    <t>СН2</t>
  </si>
  <si>
    <t>итого МВт.ч</t>
  </si>
  <si>
    <t>проверка по поступл.</t>
  </si>
  <si>
    <t>Тариф покупки потерь на потребителя, руб/МВтч -</t>
  </si>
  <si>
    <t>Число месяцев работы М = 12</t>
  </si>
  <si>
    <t>НВВ потр. на уч.передачи, руб.</t>
  </si>
  <si>
    <r>
      <t xml:space="preserve">НВВ </t>
    </r>
    <r>
      <rPr>
        <b/>
        <vertAlign val="superscript"/>
        <sz val="10"/>
        <color indexed="56"/>
        <rFont val="Times New Roman"/>
        <family val="1"/>
        <charset val="204"/>
      </rPr>
      <t>ПО</t>
    </r>
    <r>
      <rPr>
        <b/>
        <sz val="10"/>
        <color indexed="56"/>
        <rFont val="Times New Roman"/>
        <family val="1"/>
        <charset val="204"/>
      </rPr>
      <t xml:space="preserve"> в доле на потребит., руб.</t>
    </r>
  </si>
  <si>
    <r>
      <t>N</t>
    </r>
    <r>
      <rPr>
        <b/>
        <vertAlign val="superscript"/>
        <sz val="10"/>
        <color indexed="56"/>
        <rFont val="Times New Roman"/>
        <family val="1"/>
        <charset val="204"/>
      </rPr>
      <t>ПО</t>
    </r>
    <r>
      <rPr>
        <b/>
        <sz val="10"/>
        <color indexed="56"/>
        <rFont val="Times New Roman"/>
        <family val="1"/>
        <charset val="204"/>
      </rPr>
      <t>, Мвт (заявл.мощн.                              потреб.)</t>
    </r>
  </si>
  <si>
    <t>Потери на потреб., МВт.ч (переток)</t>
  </si>
  <si>
    <t>Ставка на оплату (потерь),      руб./МВтч</t>
  </si>
  <si>
    <t xml:space="preserve">Затраты потерь на потреб. (ЗПОТ),                  руб. </t>
  </si>
  <si>
    <r>
      <rPr>
        <b/>
        <sz val="11"/>
        <color indexed="56"/>
        <rFont val="Times New Roman"/>
        <family val="1"/>
        <charset val="204"/>
      </rPr>
      <t>Р</t>
    </r>
    <r>
      <rPr>
        <b/>
        <vertAlign val="superscript"/>
        <sz val="11"/>
        <color indexed="56"/>
        <rFont val="Times New Roman"/>
        <family val="1"/>
        <charset val="204"/>
      </rPr>
      <t>СОД</t>
    </r>
    <r>
      <rPr>
        <b/>
        <sz val="10"/>
        <color indexed="56"/>
        <rFont val="Times New Roman"/>
        <family val="1"/>
        <charset val="204"/>
      </rPr>
      <t>,                            руб. в год</t>
    </r>
  </si>
  <si>
    <r>
      <rPr>
        <b/>
        <sz val="11"/>
        <color indexed="56"/>
        <rFont val="Times New Roman"/>
        <family val="1"/>
        <charset val="204"/>
      </rPr>
      <t>Р</t>
    </r>
    <r>
      <rPr>
        <b/>
        <vertAlign val="superscript"/>
        <sz val="11"/>
        <color indexed="56"/>
        <rFont val="Times New Roman"/>
        <family val="1"/>
        <charset val="204"/>
      </rPr>
      <t>ПОТ</t>
    </r>
    <r>
      <rPr>
        <b/>
        <sz val="11"/>
        <color indexed="56"/>
        <rFont val="Times New Roman"/>
        <family val="1"/>
        <charset val="204"/>
      </rPr>
      <t xml:space="preserve">,                               </t>
    </r>
    <r>
      <rPr>
        <b/>
        <sz val="10"/>
        <color indexed="56"/>
        <rFont val="Times New Roman"/>
        <family val="1"/>
        <charset val="204"/>
      </rPr>
      <t>руб. в год</t>
    </r>
  </si>
  <si>
    <r>
      <t>ТС</t>
    </r>
    <r>
      <rPr>
        <b/>
        <vertAlign val="superscript"/>
        <sz val="10"/>
        <color indexed="9"/>
        <rFont val="Times New Roman"/>
        <family val="1"/>
        <charset val="204"/>
      </rPr>
      <t>СОД.</t>
    </r>
    <r>
      <rPr>
        <b/>
        <sz val="10"/>
        <color indexed="9"/>
        <rFont val="Times New Roman"/>
        <family val="1"/>
        <charset val="204"/>
      </rPr>
      <t>, руб./МВт.мес.</t>
    </r>
  </si>
  <si>
    <r>
      <t>ТС</t>
    </r>
    <r>
      <rPr>
        <b/>
        <vertAlign val="superscript"/>
        <sz val="10"/>
        <color indexed="9"/>
        <rFont val="Times New Roman"/>
        <family val="1"/>
        <charset val="204"/>
      </rPr>
      <t>ПОТ.</t>
    </r>
    <r>
      <rPr>
        <b/>
        <sz val="10"/>
        <color indexed="9"/>
        <rFont val="Times New Roman"/>
        <family val="1"/>
        <charset val="204"/>
      </rPr>
      <t>,                                    руб./МВт.ч.</t>
    </r>
  </si>
  <si>
    <t>Т № П 1.24</t>
  </si>
  <si>
    <t>Т № П 1.30</t>
  </si>
  <si>
    <t>Т № П 1.25</t>
  </si>
  <si>
    <t>ф-ла (15.21)</t>
  </si>
  <si>
    <t>ф-ла (15.22)</t>
  </si>
  <si>
    <t>ф-ла (15.23)</t>
  </si>
  <si>
    <t>ф-ла (15.24)</t>
  </si>
  <si>
    <t>за содержание электрических сетей</t>
  </si>
  <si>
    <t>за оплату потерь эл.эн. в сетях на потребителя</t>
  </si>
  <si>
    <t>итого</t>
  </si>
  <si>
    <t>по рассчитанному индивидуальному межсетевому тарифу</t>
  </si>
  <si>
    <t>должно быть по Т № П 1.27</t>
  </si>
  <si>
    <t xml:space="preserve"> Расчет индивидуального межсетевого тарифа на услуги по передаче электрической энергии  для взаиморасчетов </t>
  </si>
  <si>
    <t>Организация культмассовых мероприятий (приобретение детских новогодних подарков, проведение праздников и др.)</t>
  </si>
  <si>
    <t xml:space="preserve">Балансовая стоимость        </t>
  </si>
  <si>
    <t>Средняя за отчетный период стоимость (остаточная) основных производственных фондов</t>
  </si>
  <si>
    <t>амортиз.</t>
  </si>
  <si>
    <t>Затраты по охране ОС</t>
  </si>
  <si>
    <t>Расходы социального характера - выплаты и льготы работникам  (премии к праздничным датами, поощрения к юбилеям, прочие премии из прибыли)</t>
  </si>
  <si>
    <t>16 час.в день,  за "_" воскрес.</t>
  </si>
  <si>
    <t>Единые (котловые) тарифы на услуги по передаче электрической энергии на 2010 г.</t>
  </si>
  <si>
    <t xml:space="preserve">СН2 несетевые </t>
  </si>
  <si>
    <t>Ставка за оплату потерь электрической энергии в сетях</t>
  </si>
  <si>
    <r>
      <t>Т</t>
    </r>
    <r>
      <rPr>
        <b/>
        <vertAlign val="superscript"/>
        <sz val="12"/>
        <rFont val="Times New Roman"/>
        <family val="1"/>
        <charset val="204"/>
      </rPr>
      <t>СОД</t>
    </r>
  </si>
  <si>
    <r>
      <t>Т</t>
    </r>
    <r>
      <rPr>
        <b/>
        <vertAlign val="superscript"/>
        <sz val="12"/>
        <rFont val="Times New Roman"/>
        <family val="1"/>
        <charset val="204"/>
      </rPr>
      <t>ПОТ</t>
    </r>
  </si>
  <si>
    <t>МРСК</t>
  </si>
  <si>
    <t>Показатели</t>
  </si>
  <si>
    <t>Полезный отпуск</t>
  </si>
  <si>
    <t>Единый (котловой) тариф</t>
  </si>
  <si>
    <r>
      <t xml:space="preserve">Платежи за год, </t>
    </r>
    <r>
      <rPr>
        <b/>
        <sz val="11"/>
        <rFont val="Times New Roman"/>
        <family val="1"/>
        <charset val="204"/>
      </rPr>
      <t>тыс.руб.</t>
    </r>
  </si>
  <si>
    <t>двухставочный</t>
  </si>
  <si>
    <t>одно- ставочный</t>
  </si>
  <si>
    <t>по расчету УГРКЭ</t>
  </si>
  <si>
    <t>Мощность, Мвт</t>
  </si>
  <si>
    <t>ЭЭ, тыс.кВт.ч</t>
  </si>
  <si>
    <t>Ставка за содержание электрических сетей,                                    руб./ МВт.мес.</t>
  </si>
  <si>
    <t>Ставка за оплату потерь электрической энергии в сетях, руб./МВт.ч</t>
  </si>
  <si>
    <t>по факту потребления электро- энергии, руб./МВт.ч</t>
  </si>
  <si>
    <t>Содержание</t>
  </si>
  <si>
    <t>Потери</t>
  </si>
  <si>
    <t>8= ст.3 х ст.5 х 12 мес.</t>
  </si>
  <si>
    <t>9= ст.4 х ст.6</t>
  </si>
  <si>
    <t>10=8+9</t>
  </si>
  <si>
    <t>потери, тыс.руб.</t>
  </si>
  <si>
    <t>I.</t>
  </si>
  <si>
    <t>Необходимая валовая выручка (НВВ)</t>
  </si>
  <si>
    <t>Тарифная выручка</t>
  </si>
  <si>
    <t>Строка проверки</t>
  </si>
  <si>
    <t>II.</t>
  </si>
  <si>
    <t>по двухставочному тарифу</t>
  </si>
  <si>
    <t>по одноставочному тарифу</t>
  </si>
  <si>
    <t>Полезный отпуск всего</t>
  </si>
  <si>
    <t xml:space="preserve">в т.ч.  СН II несетевым организациям </t>
  </si>
  <si>
    <r>
      <t xml:space="preserve">           НН несетевым организациям </t>
    </r>
    <r>
      <rPr>
        <sz val="11"/>
        <color indexed="10"/>
        <rFont val="Times New Roman"/>
        <family val="1"/>
        <charset val="204"/>
      </rPr>
      <t>(НАСЕЛЕНИЕ)</t>
    </r>
  </si>
  <si>
    <t>III.</t>
  </si>
  <si>
    <t>Сальдо-переток</t>
  </si>
  <si>
    <t>Индивидуальный тариф</t>
  </si>
  <si>
    <t>руб./ МВт.мес.</t>
  </si>
  <si>
    <t>ОАО "МРСК Волги"</t>
  </si>
  <si>
    <t>IV.</t>
  </si>
  <si>
    <t>тыс.кВт.ч</t>
  </si>
  <si>
    <t>Тариф покупки потерь на потребителя -</t>
  </si>
  <si>
    <t>руб./тыс.кВт.ч</t>
  </si>
  <si>
    <r>
      <t>Э</t>
    </r>
    <r>
      <rPr>
        <b/>
        <vertAlign val="superscript"/>
        <sz val="10"/>
        <color indexed="56"/>
        <rFont val="Times New Roman"/>
        <family val="1"/>
        <charset val="204"/>
      </rPr>
      <t>ПО</t>
    </r>
    <r>
      <rPr>
        <b/>
        <sz val="10"/>
        <color indexed="56"/>
        <rFont val="Times New Roman"/>
        <family val="1"/>
        <charset val="204"/>
      </rPr>
      <t>, МВт.ч (Полезный отпуск)</t>
    </r>
  </si>
  <si>
    <r>
      <t>Т</t>
    </r>
    <r>
      <rPr>
        <b/>
        <vertAlign val="superscript"/>
        <sz val="9"/>
        <color indexed="10"/>
        <rFont val="Times New Roman"/>
        <family val="1"/>
        <charset val="204"/>
      </rPr>
      <t>СОД</t>
    </r>
    <r>
      <rPr>
        <b/>
        <sz val="9"/>
        <color indexed="10"/>
        <rFont val="Times New Roman"/>
        <family val="1"/>
        <charset val="204"/>
      </rPr>
      <t xml:space="preserve"> * N</t>
    </r>
    <r>
      <rPr>
        <b/>
        <vertAlign val="superscript"/>
        <sz val="9"/>
        <color indexed="10"/>
        <rFont val="Times New Roman"/>
        <family val="1"/>
        <charset val="204"/>
      </rPr>
      <t xml:space="preserve">ПО </t>
    </r>
    <r>
      <rPr>
        <b/>
        <sz val="9"/>
        <color indexed="10"/>
        <rFont val="Times New Roman"/>
        <family val="1"/>
        <charset val="204"/>
      </rPr>
      <t xml:space="preserve">* М - НВВ </t>
    </r>
    <r>
      <rPr>
        <b/>
        <vertAlign val="superscript"/>
        <sz val="9"/>
        <color indexed="10"/>
        <rFont val="Times New Roman"/>
        <family val="1"/>
        <charset val="204"/>
      </rPr>
      <t>ПО</t>
    </r>
  </si>
  <si>
    <r>
      <t>Т</t>
    </r>
    <r>
      <rPr>
        <b/>
        <vertAlign val="superscript"/>
        <sz val="9"/>
        <color indexed="10"/>
        <rFont val="Times New Roman"/>
        <family val="1"/>
        <charset val="204"/>
      </rPr>
      <t>ПОТ</t>
    </r>
    <r>
      <rPr>
        <b/>
        <sz val="9"/>
        <color indexed="10"/>
        <rFont val="Times New Roman"/>
        <family val="1"/>
        <charset val="204"/>
      </rPr>
      <t xml:space="preserve"> * Э</t>
    </r>
    <r>
      <rPr>
        <b/>
        <vertAlign val="superscript"/>
        <sz val="9"/>
        <color indexed="10"/>
        <rFont val="Times New Roman"/>
        <family val="1"/>
        <charset val="204"/>
      </rPr>
      <t xml:space="preserve">ПО </t>
    </r>
    <r>
      <rPr>
        <b/>
        <sz val="9"/>
        <color indexed="10"/>
        <rFont val="Times New Roman"/>
        <family val="1"/>
        <charset val="204"/>
      </rPr>
      <t>- З</t>
    </r>
    <r>
      <rPr>
        <b/>
        <vertAlign val="superscript"/>
        <sz val="9"/>
        <color indexed="10"/>
        <rFont val="Times New Roman"/>
        <family val="1"/>
        <charset val="204"/>
      </rPr>
      <t>ПОТ</t>
    </r>
  </si>
  <si>
    <r>
      <t>Р</t>
    </r>
    <r>
      <rPr>
        <b/>
        <vertAlign val="superscript"/>
        <sz val="9"/>
        <color indexed="10"/>
        <rFont val="Times New Roman"/>
        <family val="1"/>
        <charset val="204"/>
      </rPr>
      <t>СОД /</t>
    </r>
    <r>
      <rPr>
        <b/>
        <sz val="9"/>
        <color indexed="10"/>
        <rFont val="Times New Roman"/>
        <family val="1"/>
        <charset val="204"/>
      </rPr>
      <t xml:space="preserve"> (N * М)</t>
    </r>
  </si>
  <si>
    <r>
      <t>Р</t>
    </r>
    <r>
      <rPr>
        <b/>
        <vertAlign val="superscript"/>
        <sz val="9"/>
        <color indexed="10"/>
        <rFont val="Times New Roman"/>
        <family val="1"/>
        <charset val="204"/>
      </rPr>
      <t xml:space="preserve">ПОТ / </t>
    </r>
    <r>
      <rPr>
        <b/>
        <sz val="9"/>
        <color indexed="10"/>
        <rFont val="Times New Roman"/>
        <family val="1"/>
        <charset val="204"/>
      </rPr>
      <t>Э</t>
    </r>
    <r>
      <rPr>
        <b/>
        <vertAlign val="superscript"/>
        <sz val="9"/>
        <color indexed="10"/>
        <rFont val="Times New Roman"/>
        <family val="1"/>
        <charset val="204"/>
      </rPr>
      <t>ПЕРЕТ</t>
    </r>
  </si>
  <si>
    <t>с потер.</t>
  </si>
  <si>
    <t>пол.отп.</t>
  </si>
  <si>
    <t>НН несетевым</t>
  </si>
  <si>
    <r>
      <t>Э</t>
    </r>
    <r>
      <rPr>
        <b/>
        <vertAlign val="superscript"/>
        <sz val="10"/>
        <color indexed="56"/>
        <rFont val="Times New Roman"/>
        <family val="1"/>
        <charset val="204"/>
      </rPr>
      <t>ПЕРЕТОК</t>
    </r>
    <r>
      <rPr>
        <b/>
        <sz val="10"/>
        <color indexed="56"/>
        <rFont val="Times New Roman"/>
        <family val="1"/>
        <charset val="204"/>
      </rPr>
      <t>, МВт.ч (Переток)</t>
    </r>
  </si>
  <si>
    <t>9=7+8</t>
  </si>
  <si>
    <t>потребит</t>
  </si>
  <si>
    <t>СН2 несетев.</t>
  </si>
  <si>
    <t>СН2 сетев.</t>
  </si>
  <si>
    <t>НН несетев.</t>
  </si>
  <si>
    <t>НН сетев.</t>
  </si>
  <si>
    <t>6=4+5</t>
  </si>
  <si>
    <t>3 тарифа для взаиморасчетов с</t>
  </si>
  <si>
    <t>гр.11=гр.8 * Тариф покупки потерь на потреб.</t>
  </si>
  <si>
    <t>ООО "Энерго" тариф</t>
  </si>
  <si>
    <t>СН2 сетевым ООО "Энерго"</t>
  </si>
  <si>
    <t>по одностав.</t>
  </si>
  <si>
    <t>ООО "Энерго"</t>
  </si>
  <si>
    <t xml:space="preserve"> 1) ОАО "МРСК"- вышестоящая</t>
  </si>
  <si>
    <t>Население</t>
  </si>
  <si>
    <t>чччи</t>
  </si>
  <si>
    <t>(общероссийской) электрической сети</t>
  </si>
  <si>
    <t>оперативно-диспетчерскому управлению в электроэнергетике,</t>
  </si>
  <si>
    <t>организации функционирования торговой системы оптового</t>
  </si>
  <si>
    <t>рынка электрической энергии (мощности), передаче</t>
  </si>
  <si>
    <t>электрической энергии по единой национальной</t>
  </si>
  <si>
    <t>СН2 несет.(насел.)</t>
  </si>
  <si>
    <t>Баланс электрической энергии</t>
  </si>
  <si>
    <t>(наименование сетевой организации)</t>
  </si>
  <si>
    <t>Объемы потребления</t>
  </si>
  <si>
    <t xml:space="preserve">Всего </t>
  </si>
  <si>
    <t>Уровни напряжения</t>
  </si>
  <si>
    <t>СОБСТВЕННОЕ ПОТРЕБЛЕНИЕ</t>
  </si>
  <si>
    <t>Электрическая энергия, тыс.кВтч</t>
  </si>
  <si>
    <t>Мощность, МВт</t>
  </si>
  <si>
    <t>ПОТЕРИ ПРИ ПЕРЕДАЧЕ ПО ЭЛЕКТРИЧЕСКИМ СЕТЯМ</t>
  </si>
  <si>
    <t>ПОЛЕЗНЫЙ ОТПУСК</t>
  </si>
  <si>
    <t>Всего:</t>
  </si>
  <si>
    <t>Прочие потребители</t>
  </si>
  <si>
    <t>ПЕРЕДАЧА ПО ТРАНЗИТУ</t>
  </si>
  <si>
    <t xml:space="preserve">                      М.П.</t>
  </si>
  <si>
    <t xml:space="preserve">                          М.П.</t>
  </si>
  <si>
    <t>Таблица № П1.30</t>
  </si>
  <si>
    <t>(в ред. Приказа ФСТ РФ от 31.07.2007 № 138-э/6)</t>
  </si>
  <si>
    <t>Отпуск (передача) электроэнергии территориальными сетевыми организациями</t>
  </si>
  <si>
    <t>Отпуск ЭЭ, тыс. кВт·ч</t>
  </si>
  <si>
    <t>Заявленная мощность, МВт</t>
  </si>
  <si>
    <t>Присоединенная мощность, МВА</t>
  </si>
  <si>
    <t>Товарная продукция, тыс. руб.</t>
  </si>
  <si>
    <t>1</t>
  </si>
  <si>
    <t>Поступление электроэнергии в сеть - всего</t>
  </si>
  <si>
    <t>в т.ч. из</t>
  </si>
  <si>
    <t>1.1</t>
  </si>
  <si>
    <t>1.2</t>
  </si>
  <si>
    <t>сетевых организаций</t>
  </si>
  <si>
    <t>1.2.1</t>
  </si>
  <si>
    <t>1.2.2</t>
  </si>
  <si>
    <t>2</t>
  </si>
  <si>
    <t>Потери электроэнергии - всего</t>
  </si>
  <si>
    <t>3</t>
  </si>
  <si>
    <t>Отпуск (передача) электроэнергии сетевыми предприятиями - всего</t>
  </si>
  <si>
    <t>3.1</t>
  </si>
  <si>
    <t>не сетевым организациям</t>
  </si>
  <si>
    <t>3.2</t>
  </si>
  <si>
    <t>сетевым организациям</t>
  </si>
  <si>
    <t>также в сальдированном выражении (п. 3.2.1 - п. 1.2.1)</t>
  </si>
  <si>
    <t>3.2.2</t>
  </si>
  <si>
    <t>3.2.2.1</t>
  </si>
  <si>
    <t>также в сальдированном выражении (п. 3.2.2 - п. 1.2.2)</t>
  </si>
  <si>
    <t>4</t>
  </si>
  <si>
    <t>Поступление электроэнергии в ЕНЭС</t>
  </si>
  <si>
    <t>4.1</t>
  </si>
  <si>
    <t>не сетевых организаций</t>
  </si>
  <si>
    <t>4.2</t>
  </si>
  <si>
    <t>4.2.1</t>
  </si>
  <si>
    <t>сетевой организации 1</t>
  </si>
  <si>
    <t>4.2.2</t>
  </si>
  <si>
    <t>сетевой организации 2</t>
  </si>
  <si>
    <t>5</t>
  </si>
  <si>
    <t>Потери электроэнергии</t>
  </si>
  <si>
    <t>6</t>
  </si>
  <si>
    <t>Отпуск (передача) электроэнергии</t>
  </si>
  <si>
    <t>6.1</t>
  </si>
  <si>
    <t>6.2</t>
  </si>
  <si>
    <t>6.2.1</t>
  </si>
  <si>
    <t>6.2.1.1</t>
  </si>
  <si>
    <t>также в сальдированном выражении (п. 6.2.1 - п. 4.2.1)</t>
  </si>
  <si>
    <t>6.2.2</t>
  </si>
  <si>
    <t>6.2.2.1</t>
  </si>
  <si>
    <t>также в сальдированном выражении (п. 6.2.2 - п. 4.2.2)</t>
  </si>
  <si>
    <t>7</t>
  </si>
  <si>
    <t>Трансформировано из сети ЕНЭС в:</t>
  </si>
  <si>
    <t>8</t>
  </si>
  <si>
    <t>- ВН</t>
  </si>
  <si>
    <t>9</t>
  </si>
  <si>
    <t>- СН1</t>
  </si>
  <si>
    <t>10</t>
  </si>
  <si>
    <t>- СН2</t>
  </si>
  <si>
    <t>11</t>
  </si>
  <si>
    <t>- НН</t>
  </si>
  <si>
    <t>12</t>
  </si>
  <si>
    <t>Поступление электроэнергии в сеть ВН 110 кВ</t>
  </si>
  <si>
    <t>12.1</t>
  </si>
  <si>
    <t>12.2</t>
  </si>
  <si>
    <t>12.2.1</t>
  </si>
  <si>
    <t>12.2.2</t>
  </si>
  <si>
    <t>13</t>
  </si>
  <si>
    <t>14</t>
  </si>
  <si>
    <t>14.1</t>
  </si>
  <si>
    <t>14.2</t>
  </si>
  <si>
    <t>также в сальдированном выражении (п. 14.2.1 - п. 12.2.1)</t>
  </si>
  <si>
    <t>14.2.2</t>
  </si>
  <si>
    <t>14.2.2.1</t>
  </si>
  <si>
    <t>также в сальдированном выражении (п. 14.2.2 - п. 12.2.2)</t>
  </si>
  <si>
    <t>15</t>
  </si>
  <si>
    <t>Трансформировано из 110 кВ в:</t>
  </si>
  <si>
    <t>16</t>
  </si>
  <si>
    <t>17</t>
  </si>
  <si>
    <t>18</t>
  </si>
  <si>
    <t>19</t>
  </si>
  <si>
    <t>Поступление электроэнергии в сеть СН1</t>
  </si>
  <si>
    <t>19.1</t>
  </si>
  <si>
    <t>19.2</t>
  </si>
  <si>
    <t>в т.ч из</t>
  </si>
  <si>
    <t>19.2.1</t>
  </si>
  <si>
    <t>19.2.2</t>
  </si>
  <si>
    <t>20</t>
  </si>
  <si>
    <t>21</t>
  </si>
  <si>
    <t>21.1</t>
  </si>
  <si>
    <t>21.2</t>
  </si>
  <si>
    <t>21.2.1</t>
  </si>
  <si>
    <t>21.2.1.1</t>
  </si>
  <si>
    <t>также в сальдированном выражении (п. 21.2.1- п. 19.2.1)</t>
  </si>
  <si>
    <t>21.2.2</t>
  </si>
  <si>
    <t>21.2.2.1</t>
  </si>
  <si>
    <t>также в сальдированном выражении (п. 21.2.2 - п. 19.2.2)</t>
  </si>
  <si>
    <t>22</t>
  </si>
  <si>
    <t>Трансформировано из 35 кВ в:</t>
  </si>
  <si>
    <t>23</t>
  </si>
  <si>
    <t>24</t>
  </si>
  <si>
    <t>25</t>
  </si>
  <si>
    <t>Поступление электроэнергии в сеть СН2</t>
  </si>
  <si>
    <t>25.1</t>
  </si>
  <si>
    <t>25.2</t>
  </si>
  <si>
    <t>25.2.1</t>
  </si>
  <si>
    <t>25.2.2</t>
  </si>
  <si>
    <t>26</t>
  </si>
  <si>
    <t>27</t>
  </si>
  <si>
    <t>27.1</t>
  </si>
  <si>
    <t>27.2</t>
  </si>
  <si>
    <t>также в сальдированном выражении (п. 27.2.1 - п. 25.2.1)</t>
  </si>
  <si>
    <t>27.2.2</t>
  </si>
  <si>
    <t>27.2.2.1</t>
  </si>
  <si>
    <t>также в сальдированном выражении (п. 27.2.2 - п. 25.2.2)</t>
  </si>
  <si>
    <t>28</t>
  </si>
  <si>
    <t>Трансформировано из 10-6 кВ в:</t>
  </si>
  <si>
    <t>29</t>
  </si>
  <si>
    <t>30</t>
  </si>
  <si>
    <t>Поступление электроэнергии в сеть НН</t>
  </si>
  <si>
    <t>30.1</t>
  </si>
  <si>
    <t>30.2</t>
  </si>
  <si>
    <t>30.2.1</t>
  </si>
  <si>
    <t>30.2.2</t>
  </si>
  <si>
    <t>31</t>
  </si>
  <si>
    <t>32</t>
  </si>
  <si>
    <t>32.2.1</t>
  </si>
  <si>
    <t>32.2.1.1</t>
  </si>
  <si>
    <t>также в сальдированном выражении (п. 32.2.1 - п. 30.2.1)</t>
  </si>
  <si>
    <t>32.2.2</t>
  </si>
  <si>
    <t>32.2.2.1</t>
  </si>
  <si>
    <t>также в сальдированном выражении (п. 32.2.2 - п. 30.2.2)</t>
  </si>
  <si>
    <r>
      <t>N</t>
    </r>
    <r>
      <rPr>
        <b/>
        <vertAlign val="superscript"/>
        <sz val="10"/>
        <color indexed="56"/>
        <rFont val="Times New Roman"/>
        <family val="1"/>
        <charset val="204"/>
      </rPr>
      <t>на потери</t>
    </r>
    <r>
      <rPr>
        <b/>
        <sz val="10"/>
        <color indexed="56"/>
        <rFont val="Times New Roman"/>
        <family val="1"/>
        <charset val="204"/>
      </rPr>
      <t>, Мвт (заявл.мощн.                   на потери)</t>
    </r>
  </si>
  <si>
    <t>ИТОГО N                                    (Т № П 1.30)</t>
  </si>
  <si>
    <t xml:space="preserve">НН несетевые </t>
  </si>
  <si>
    <t xml:space="preserve"> СН2 население</t>
  </si>
  <si>
    <t>одност. руб./МВт.ч</t>
  </si>
  <si>
    <t>проверка по 2-х став.</t>
  </si>
  <si>
    <t>2011 г.</t>
  </si>
  <si>
    <t>П1.30</t>
  </si>
  <si>
    <t xml:space="preserve">В п.1 учтены трудозатраты оперативного персонала подстанций напряжением 35-1150 кВ. </t>
  </si>
  <si>
    <t>Условные единицы по пп.2-9 учитывают трудозатраты по обслуживанию и ремонту оборудования, не включенного в номенклатуру условных единиц (трансформаторы напряжения, аккумуляторные батареи, сборные шины и т.д.), резервного оборудования.</t>
  </si>
  <si>
    <t xml:space="preserve">Условные единицы по п 2 "Силовые трансформаторы 1-20 кВ" определяются только для трансформаторов, используемых для собственных нужд подстанций 35-1150 кВ.  </t>
  </si>
  <si>
    <t>По пп. 3-6 учтены дополнительные трудозатраты на обслуживание и ремонт устройств релейной защиты  и автоматики, а для воздушных выключателей (п.3) - дополнительно трудозатраты по обслуживанию и ремонту компрессорных установок.</t>
  </si>
  <si>
    <t>Значение условных единиц пп.4 и 6  "Масляные выключатели  1-20 кВ" и "Выключатели нагрузки 1-20 кВ" относятся к коммутационным аппаратам, установленным в распределительных устройствах  1-20 кВ подстанций 35-1150 кВ , ТП, КТП и РП 1-20 кВ , а так же к секц</t>
  </si>
  <si>
    <t>Объем РП 1-20 кВ в условных единицах определяется по количеству установленных масляных выключателей (п.4) и выключателей нагрузки (п.6). При установке в РП трансформаторов 1-20/0,4 кВ дополнительные объемы обслуживания определяются по п.11 или  12.</t>
  </si>
  <si>
    <t>По пп.10-12 дополнительно учтены трудозатраты оперативного персонала распределительных сетей 0,4-20 кВ.</t>
  </si>
  <si>
    <t xml:space="preserve">По пп.1,2 условные единицы относятся на уровень напряжения, соответствующий первичному напряжению. </t>
  </si>
  <si>
    <t>Условные единицы электрооборудования понизительных подстанций относятся на уровень высшего напряжения</t>
  </si>
  <si>
    <t>Население, проживающее в городских населенных пунктах, оборудованных в установленном порядке стационарными газовыми плитами, а также потребители городских населенных пунктов, приравненные к населению</t>
  </si>
  <si>
    <t>Население, проживающее в домах, оборудованных в установленном порядке стационарными электроплитами;                                                                                                                                                                                          население, проживающее в сельских населенных пунктах, а также потребители сельских населенных пунктов,                                                                                               приравненные к населению</t>
  </si>
  <si>
    <t>ОАО "Самараэнерго"</t>
  </si>
  <si>
    <t>______________________  М. В. Сойфер</t>
  </si>
  <si>
    <t>План 2011 г.,                             тыс. руб</t>
  </si>
  <si>
    <t>Прибыль на социальное развитие, оздоровление и отдых</t>
  </si>
  <si>
    <t>2009г.</t>
  </si>
  <si>
    <t>т.р.</t>
  </si>
  <si>
    <t>на 1-ого раб.</t>
  </si>
  <si>
    <t>9 мес.2010 г.</t>
  </si>
  <si>
    <t>Согласно предоставленному штатному расписанию службы энергомеханического обеспечения</t>
  </si>
  <si>
    <r>
      <t>тарифная ставка (оклад) в месяц производственных рабочих участка энергоснабжения (4 чел.) - 30 070,00 руб</t>
    </r>
    <r>
      <rPr>
        <b/>
        <i/>
        <sz val="11"/>
        <rFont val="Times New Roman Cyr"/>
        <charset val="204"/>
      </rPr>
      <t>.,</t>
    </r>
  </si>
  <si>
    <t>тарифная ставка (оклад) в месяц всех рабочих службы ЭМО (15,5 чел.) - 98 604,60 руб.</t>
  </si>
  <si>
    <t>Поставщик</t>
  </si>
  <si>
    <t>Дата</t>
  </si>
  <si>
    <t>Счет-фактура</t>
  </si>
  <si>
    <r>
      <t xml:space="preserve">Сумма,                               </t>
    </r>
    <r>
      <rPr>
        <b/>
        <sz val="10"/>
        <rFont val="Times New Roman"/>
        <family val="1"/>
        <charset val="204"/>
      </rPr>
      <t>руб.</t>
    </r>
    <r>
      <rPr>
        <sz val="1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                              </t>
    </r>
    <r>
      <rPr>
        <sz val="10"/>
        <rFont val="Times New Roman"/>
        <family val="1"/>
        <charset val="204"/>
      </rPr>
      <t xml:space="preserve"> с НДС</t>
    </r>
  </si>
  <si>
    <r>
      <t xml:space="preserve">Сумма,                               </t>
    </r>
    <r>
      <rPr>
        <b/>
        <sz val="10"/>
        <rFont val="Times New Roman"/>
        <family val="1"/>
        <charset val="204"/>
      </rPr>
      <t xml:space="preserve">руб.  </t>
    </r>
    <r>
      <rPr>
        <sz val="12"/>
        <rFont val="Times New Roman"/>
        <family val="1"/>
        <charset val="204"/>
      </rPr>
      <t xml:space="preserve">       </t>
    </r>
    <r>
      <rPr>
        <sz val="10"/>
        <rFont val="Times New Roman"/>
        <family val="1"/>
        <charset val="204"/>
      </rPr>
      <t xml:space="preserve">                       с НДС</t>
    </r>
  </si>
  <si>
    <t>хоз.способ</t>
  </si>
  <si>
    <t>Вспомогательные материалы при выполнении работ по ремонту и техническому обслуживанию</t>
  </si>
  <si>
    <t>Расходы по содержанию и эксплуатации оборудования</t>
  </si>
  <si>
    <t>счета-фактуры, платежные поручения), расшифровка материальных затрат за 9мес.10 г. (стр.___ дела)</t>
  </si>
  <si>
    <t xml:space="preserve">Итого услуги </t>
  </si>
  <si>
    <t>Итого вспомогательные материалы</t>
  </si>
  <si>
    <t>2010 г. - 2011 г.</t>
  </si>
  <si>
    <t>Остаточная стоимость         на 01.10.11 г.</t>
  </si>
  <si>
    <t>г.вв.</t>
  </si>
  <si>
    <t xml:space="preserve">Наименование </t>
  </si>
  <si>
    <t>Ввод октябрь 2010 г.</t>
  </si>
  <si>
    <t>скрыть</t>
  </si>
  <si>
    <t>Приобретение и монтаж резервного трансформатора ТМ-250 6/0,4 на ТП-203</t>
  </si>
  <si>
    <t xml:space="preserve"> ТП-212</t>
  </si>
  <si>
    <t>Ремонт крыши 42 кв.м</t>
  </si>
  <si>
    <t>материалы на ремонт + зарплата рабочих строительного подразделения</t>
  </si>
  <si>
    <t>Замена 3-х дверей на металлические</t>
  </si>
  <si>
    <t>Ремонт пола 42,0 кв.м</t>
  </si>
  <si>
    <t>Ремонт стен внутри подстанции 138 кв.м</t>
  </si>
  <si>
    <t>Приобретение и монтаж ячеек КРУ-2-10 в кол-ве 6 шт.</t>
  </si>
  <si>
    <t>Обустройство вентиляции</t>
  </si>
  <si>
    <t xml:space="preserve"> ТП-3</t>
  </si>
  <si>
    <t>Ремонт пола (бетонирование) 40 кв.м</t>
  </si>
  <si>
    <t>Покраска дверей - 4 шт.</t>
  </si>
  <si>
    <t xml:space="preserve">Приобретение и монтаж ячеек КРУ-2-10 </t>
  </si>
  <si>
    <t>хоз.способ (строительное подразделение)</t>
  </si>
  <si>
    <t>Обучение специалистов правилам и нормам безопасной эксплуатации электроустановок</t>
  </si>
  <si>
    <t xml:space="preserve"> Ежегодное медицинское освидетельствование электротехнического персонала</t>
  </si>
  <si>
    <t>Расходы на приобретение спецодежды</t>
  </si>
  <si>
    <t>сторонние организации</t>
  </si>
  <si>
    <t>Обеспечение огнетушителями, средствами электрозащиты, медицинскими аптечками и т.д. (противоаварийные и противопожарные мероприятия)</t>
  </si>
  <si>
    <t>Расходы на приобретение инструмента и инвентаря электрохозяйственного назначения (бокорезы, отвертки, пассатижы, круглогубцы, вольтметры)</t>
  </si>
  <si>
    <t>Расходы на трансформаторное масло</t>
  </si>
  <si>
    <t>Вспомогательные материалы для проведения профилактических работ на ТП</t>
  </si>
  <si>
    <t>Проверка сопротивления изоляции кабельных сетей</t>
  </si>
  <si>
    <t xml:space="preserve">сторонняя организация </t>
  </si>
  <si>
    <t>Постановление правительства РФ от 30.12.2009г. № 1140</t>
  </si>
  <si>
    <t>1.1.3.</t>
  </si>
  <si>
    <t>1.1.4.</t>
  </si>
  <si>
    <t>1.1.5.</t>
  </si>
  <si>
    <t>1.1.6.</t>
  </si>
  <si>
    <t>1.2.1.</t>
  </si>
  <si>
    <t>1.2.2.</t>
  </si>
  <si>
    <t>1.2.3.</t>
  </si>
  <si>
    <t>Электротехнические материалы</t>
  </si>
  <si>
    <t xml:space="preserve">Вспомогательные материалы </t>
  </si>
  <si>
    <t>Итого ремонт п.1</t>
  </si>
  <si>
    <t xml:space="preserve">Ремонтно-строительные работы на ТП </t>
  </si>
  <si>
    <t xml:space="preserve">Работы и услуги производственного характера </t>
  </si>
  <si>
    <r>
      <t>Ремонт и обслуживание злектрических сетей</t>
    </r>
    <r>
      <rPr>
        <sz val="10"/>
        <color indexed="10"/>
        <rFont val="Times New Roman"/>
        <family val="1"/>
        <charset val="204"/>
      </rPr>
      <t xml:space="preserve"> (90,0тыс.руб.)</t>
    </r>
  </si>
  <si>
    <r>
      <t xml:space="preserve">Норма аморти- зации 2011г.,               </t>
    </r>
    <r>
      <rPr>
        <b/>
        <sz val="10"/>
        <rFont val="Times New Roman"/>
        <family val="1"/>
        <charset val="204"/>
      </rPr>
      <t>%</t>
    </r>
  </si>
  <si>
    <t>Остаточная стоимость         на 01.01.10г.</t>
  </si>
  <si>
    <t>Амортиза- ция за январь 2010г.</t>
  </si>
  <si>
    <t>Остаточная стоимость         на 01.11.10г.</t>
  </si>
  <si>
    <t>Амортиза- ция за 2010год, руб.</t>
  </si>
  <si>
    <t>Остаточная стоимость         на 01.01.11г.</t>
  </si>
  <si>
    <t>Амортиза- ция за 2011год, руб.</t>
  </si>
  <si>
    <t>Остаточная стоимость         на 01.01.12г.</t>
  </si>
  <si>
    <t>общецехового назначения энергохозяйства ОАО «1253 ЦРБРЛВ»</t>
  </si>
  <si>
    <t>Амортизация общецехового назначения энергохозяйства распределена на участок передачи электроэнергии пропорционально основной зарплате рабочих службы ЭМО.</t>
  </si>
  <si>
    <t xml:space="preserve">Доля на участок передачи электроэнергии составит  Д = 30 070,00 руб. / 98 604,60 тыс.руб. = </t>
  </si>
  <si>
    <t>Здание № 20 (энергомеханический участок)</t>
  </si>
  <si>
    <t>Амортизационные отчисления  общецехового назначения энергохозяйства ОАО «1253 ЦРБРЛВ» на участок электроснабжения составят  -</t>
  </si>
  <si>
    <t>(7 078,20 руб. / 1000 х 30,50% = 2,2 тыс.руб.)</t>
  </si>
  <si>
    <r>
      <t xml:space="preserve"> Налоги </t>
    </r>
    <r>
      <rPr>
        <sz val="10"/>
        <rFont val="Times New Roman"/>
        <family val="1"/>
        <charset val="204"/>
      </rPr>
      <t>(на землю, экологический/ транспортный)</t>
    </r>
  </si>
  <si>
    <t>Электротехнические материалы (ремонт и обслуживание злектрических сетей и ТП)</t>
  </si>
  <si>
    <t>между ОАО "1253 ЦРБРЛВ" и ОАО «МРСК Волги» (филиал «Самарские распределительные сети»)</t>
  </si>
  <si>
    <t>Единые (котловые) тарифы на услуги по передаче электрической энергии на 2011 г.</t>
  </si>
  <si>
    <t>ОАО "1253 ЦРБРЛВ" от Самараэнерго и сетевых организаций ООО "Энерго" и ООО "Засамарская сетевая компания"</t>
  </si>
  <si>
    <t>Энерго</t>
  </si>
  <si>
    <t>уд.вес.</t>
  </si>
  <si>
    <t>доля по МВт.ч               (без потерь)</t>
  </si>
  <si>
    <t>ОАО "1253 ЦРБРЛВ" отдаст ОАО "МРСК Волги", тыс.руб.</t>
  </si>
  <si>
    <t xml:space="preserve">НВВ ОАО "1253 ЦРБРЛВ" </t>
  </si>
  <si>
    <t>Выручка ОАО "1253 ЦРБРЛВ" от оказания услуг по передаче, тыс.руб.</t>
  </si>
  <si>
    <t xml:space="preserve">2) ООО "Энерго"и </t>
  </si>
  <si>
    <t>3) ОО "Засамарская сетевая компания" - нижестоящие</t>
  </si>
  <si>
    <t>по договорам 2011 г.</t>
  </si>
  <si>
    <t>СН2 сетевым ООО "ЗаСеКо"</t>
  </si>
  <si>
    <t>чччи, час.</t>
  </si>
  <si>
    <r>
      <rPr>
        <b/>
        <sz val="10"/>
        <color indexed="10"/>
        <rFont val="Times New Roman"/>
        <family val="1"/>
        <charset val="204"/>
      </rPr>
      <t>I.</t>
    </r>
    <r>
      <rPr>
        <b/>
        <sz val="10"/>
        <rFont val="Times New Roman"/>
        <family val="1"/>
        <charset val="204"/>
      </rPr>
      <t xml:space="preserve"> ОАО "1253 ЦРБРЛВ" </t>
    </r>
    <r>
      <rPr>
        <b/>
        <sz val="10"/>
        <color indexed="10"/>
        <rFont val="Times New Roman"/>
        <family val="1"/>
        <charset val="204"/>
      </rPr>
      <t xml:space="preserve">получит </t>
    </r>
    <r>
      <rPr>
        <b/>
        <sz val="10"/>
        <rFont val="Times New Roman"/>
        <family val="1"/>
        <charset val="204"/>
      </rPr>
      <t>по ед.котловому тарифу 2-х ставочному</t>
    </r>
    <r>
      <rPr>
        <b/>
        <sz val="10"/>
        <color indexed="10"/>
        <rFont val="Times New Roman"/>
        <family val="1"/>
        <charset val="204"/>
      </rPr>
      <t xml:space="preserve"> </t>
    </r>
    <r>
      <rPr>
        <b/>
        <sz val="10"/>
        <rFont val="Times New Roman"/>
        <family val="1"/>
        <charset val="204"/>
      </rPr>
      <t>от Самара-Энерго за потребителей, тыс.руб.</t>
    </r>
  </si>
  <si>
    <r>
      <rPr>
        <b/>
        <sz val="10"/>
        <color indexed="10"/>
        <rFont val="Times New Roman"/>
        <family val="1"/>
        <charset val="204"/>
      </rPr>
      <t>II.</t>
    </r>
    <r>
      <rPr>
        <b/>
        <sz val="10"/>
        <rFont val="Times New Roman"/>
        <family val="1"/>
        <charset val="204"/>
      </rPr>
      <t xml:space="preserve"> ОАО "1253 ЦРБРЛВ" </t>
    </r>
    <r>
      <rPr>
        <b/>
        <sz val="10"/>
        <color indexed="10"/>
        <rFont val="Times New Roman"/>
        <family val="1"/>
        <charset val="204"/>
      </rPr>
      <t>получит</t>
    </r>
    <r>
      <rPr>
        <b/>
        <sz val="10"/>
        <rFont val="Times New Roman"/>
        <family val="1"/>
        <charset val="204"/>
      </rPr>
      <t xml:space="preserve"> от ООО "Энерго" за потребителей, тыс.руб.</t>
    </r>
  </si>
  <si>
    <r>
      <rPr>
        <b/>
        <sz val="10"/>
        <color indexed="10"/>
        <rFont val="Times New Roman"/>
        <family val="1"/>
        <charset val="204"/>
      </rPr>
      <t xml:space="preserve">III. ОАО "1253 ЦРБРЛВ" получит от ООО </t>
    </r>
    <r>
      <rPr>
        <b/>
        <sz val="10"/>
        <rFont val="Times New Roman"/>
        <family val="1"/>
        <charset val="204"/>
      </rPr>
      <t>"ЗаСеКо" за потребителей, тыс.руб.</t>
    </r>
  </si>
  <si>
    <t>ЗАО "ЗаСеКо" тариф</t>
  </si>
  <si>
    <t>ЗАО "ЗаСеКо"</t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</si>
  <si>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2011 г.</t>
    </r>
  </si>
  <si>
    <t>платежи от 3-х орг. В адрес ОАО "1253 ЦРБРЛВ" по один.тарифу</t>
  </si>
  <si>
    <t>Платежи в адрес ОАО "1253 ЦРБРЛВ" от :</t>
  </si>
  <si>
    <t>ЗаСеКо</t>
  </si>
  <si>
    <t>Содер- жание</t>
  </si>
  <si>
    <t>ФГУП «ГНПРКЦ «ЦСКБ-Прогресс»  на 2012 год</t>
  </si>
  <si>
    <t>ФГУП «ГНПРКЦ «ЦСКБ-Прогресс»</t>
  </si>
  <si>
    <t>общецехового назначения энергохозяйства ФГУП «ГНПРКЦ «ЦСКБ-Прогресс»</t>
  </si>
  <si>
    <t>общезаводского назначения ФГУП «ГНПРКЦ «ЦСКБ-Прогресс»</t>
  </si>
  <si>
    <t>2012 г.</t>
  </si>
  <si>
    <t xml:space="preserve">Первый зам. генерального директора - </t>
  </si>
  <si>
    <t xml:space="preserve">главный инженер
</t>
  </si>
  <si>
    <t>С. В. Тюлевин</t>
  </si>
  <si>
    <t>3.2.3</t>
  </si>
  <si>
    <t>сетевой организации ОАО "РЖД"</t>
  </si>
  <si>
    <t>3.2.3.1</t>
  </si>
  <si>
    <t>3.2.4</t>
  </si>
  <si>
    <t xml:space="preserve">МП “Самарский метрополитен” </t>
  </si>
  <si>
    <t>3.2.4.1</t>
  </si>
  <si>
    <t>3.2.5</t>
  </si>
  <si>
    <t xml:space="preserve"> ЗАО "ССК" </t>
  </si>
  <si>
    <t>3.2.5.1</t>
  </si>
  <si>
    <t>также в сальдированном выражении (п. 3.2.3 - п. 1.2.3)</t>
  </si>
  <si>
    <t>Х</t>
  </si>
  <si>
    <t>14.2.3</t>
  </si>
  <si>
    <t>ОАО"РЖД"</t>
  </si>
  <si>
    <t>14.2.3.1</t>
  </si>
  <si>
    <t>14.2.4</t>
  </si>
  <si>
    <t>14.2.4.1</t>
  </si>
  <si>
    <t>27.2.5</t>
  </si>
  <si>
    <t>27.2.5.1</t>
  </si>
  <si>
    <t xml:space="preserve">ЗАО "ССК" </t>
  </si>
  <si>
    <t>Руководитель  ОАО МРСК Волги"   _________________________________</t>
  </si>
  <si>
    <t>Руководитель  ОАО "РЖД"   ______________________________________</t>
  </si>
  <si>
    <t xml:space="preserve">Руководитель МП г.о. Самара </t>
  </si>
  <si>
    <t>Руководитель  ООО "Энерго"   ______________________________________</t>
  </si>
  <si>
    <t>Руководитель  ЗАО "ССК"   _________________________________________</t>
  </si>
  <si>
    <t xml:space="preserve">главный инженер </t>
  </si>
  <si>
    <t>_____________________ С. В. Тюлевин</t>
  </si>
  <si>
    <t>доля</t>
  </si>
  <si>
    <t>главный инженер</t>
  </si>
  <si>
    <t xml:space="preserve">Система условных единиц для распределения </t>
  </si>
  <si>
    <t xml:space="preserve">общей суммы тарифной выручки по классам напряжения </t>
  </si>
  <si>
    <t>Показатель</t>
  </si>
  <si>
    <t>Ед.изм.</t>
  </si>
  <si>
    <t>2011 год</t>
  </si>
  <si>
    <t>2014 год</t>
  </si>
  <si>
    <t>2015 год</t>
  </si>
  <si>
    <t>у.е.</t>
  </si>
  <si>
    <t>Приложение 1</t>
  </si>
  <si>
    <t>№п/п</t>
  </si>
  <si>
    <t xml:space="preserve">Утверждено на 2011 год </t>
  </si>
  <si>
    <t>Базовый (первый) год долгосрочного периода регулирования                   2012 год</t>
  </si>
  <si>
    <t>НВВ 2011</t>
  </si>
  <si>
    <t>НВВ 2012</t>
  </si>
  <si>
    <r>
      <t xml:space="preserve">НВВ сетевой организации ВСЕГО </t>
    </r>
    <r>
      <rPr>
        <sz val="11"/>
        <rFont val="Arial Cyr"/>
        <charset val="204"/>
      </rPr>
      <t xml:space="preserve">(без учета расходов на оплату услуг территориальных сетевых организаций, расходов на оплату потерь электроэнергии) </t>
    </r>
  </si>
  <si>
    <t>Табл. П.1.24</t>
  </si>
  <si>
    <t>Подконтрольные расходы</t>
  </si>
  <si>
    <t>Материальные затраты</t>
  </si>
  <si>
    <t>1.1.1.1.</t>
  </si>
  <si>
    <t>Сырье, материалы, запасные части, инструмент, топливо</t>
  </si>
  <si>
    <t>1.1.1.2.</t>
  </si>
  <si>
    <t>Работы и услуги производственного характера (в т.ч. услуги сторонних организаций по содержанию сетей и распределительных устройств)</t>
  </si>
  <si>
    <t>Расходы на оплату труда</t>
  </si>
  <si>
    <t>Прочие расходы, всего, в том числе:</t>
  </si>
  <si>
    <t>1.1.3.1.</t>
  </si>
  <si>
    <t>Ремонт основных фондов</t>
  </si>
  <si>
    <t>механизмы по ЛС</t>
  </si>
  <si>
    <t>1.1.3.2.</t>
  </si>
  <si>
    <t>Оплата работ и услуг сторонних организаций</t>
  </si>
  <si>
    <t>1.1.3.2.1.</t>
  </si>
  <si>
    <t>услуги связи</t>
  </si>
  <si>
    <t>1.1.3.2.2.</t>
  </si>
  <si>
    <t>Расходы на услуги вневедомственной охраны и коммунального хозяйства</t>
  </si>
  <si>
    <t>1.1.3.2.3.</t>
  </si>
  <si>
    <t>Расходы на юридические и информационные услуги</t>
  </si>
  <si>
    <t>1.1.3.2.4.</t>
  </si>
  <si>
    <t>Расходы на аудиторские и консультационные услуги</t>
  </si>
  <si>
    <t>1.1.3.2.5.</t>
  </si>
  <si>
    <t>Транспортные услуги</t>
  </si>
  <si>
    <t>1.1.3.2.6.</t>
  </si>
  <si>
    <t>Прочие услуги сторонних организаций</t>
  </si>
  <si>
    <t xml:space="preserve">усл.банка, ремонт </t>
  </si>
  <si>
    <t>1.1.3.3.</t>
  </si>
  <si>
    <t>Расходы на командировки и представительские</t>
  </si>
  <si>
    <t>1.1.3.4.</t>
  </si>
  <si>
    <t>Расходы на подготовку кадров</t>
  </si>
  <si>
    <t>1.1.3.5.</t>
  </si>
  <si>
    <t>Расходы на обеспечение нормальных условий труда и мер по технике безопасности</t>
  </si>
  <si>
    <t>прочие ОХР</t>
  </si>
  <si>
    <t>1.1.3.6.</t>
  </si>
  <si>
    <t>Расходы на страхование</t>
  </si>
  <si>
    <t>1.1.3.7.</t>
  </si>
  <si>
    <t>Расходы из прибыли, в т.ч.:</t>
  </si>
  <si>
    <t>1.1.4.1.</t>
  </si>
  <si>
    <t>расходы на обслуживание  заемных средств</t>
  </si>
  <si>
    <t>1.1.4.2.</t>
  </si>
  <si>
    <t>расходы по коллективным договорам</t>
  </si>
  <si>
    <t>1.1.4.3.</t>
  </si>
  <si>
    <t>прочие расходы из прибыли</t>
  </si>
  <si>
    <t>Неподконтрольные расходы</t>
  </si>
  <si>
    <t>Оплата услуг ОАО "ФСК ЕЭС"</t>
  </si>
  <si>
    <t>Электроэнергия на хоз. нужды</t>
  </si>
  <si>
    <t>1.2.4.</t>
  </si>
  <si>
    <t>Плата за аренду имущества и лизинг</t>
  </si>
  <si>
    <t>1.2.5.</t>
  </si>
  <si>
    <t>Налоги,всего, в том числе:</t>
  </si>
  <si>
    <t>1.2.5.1.</t>
  </si>
  <si>
    <t>плата за землю</t>
  </si>
  <si>
    <t>1.2.5.2.</t>
  </si>
  <si>
    <t>Налог на имущество</t>
  </si>
  <si>
    <t>1.2.5.3.</t>
  </si>
  <si>
    <t>Прочие налоги и сборы</t>
  </si>
  <si>
    <t>плата за негативное возд.на окр.среду</t>
  </si>
  <si>
    <t>1.2.6.</t>
  </si>
  <si>
    <t>Отчисления на социальные нужды (ЕСН)</t>
  </si>
  <si>
    <t>1.2.7.</t>
  </si>
  <si>
    <t>Амортизация основных средств</t>
  </si>
  <si>
    <t>1.2.8.</t>
  </si>
  <si>
    <t>Расходы на финансирование капитальных вложений</t>
  </si>
  <si>
    <t>1.2.11.</t>
  </si>
  <si>
    <t>Прочие неподконтрольные расходы</t>
  </si>
  <si>
    <t>плата за ОС</t>
  </si>
  <si>
    <t>1.2.12.</t>
  </si>
  <si>
    <t>Налог на прибыль</t>
  </si>
  <si>
    <t>1.2.13.</t>
  </si>
  <si>
    <t>Выпадающие доходы/экономия средств</t>
  </si>
  <si>
    <t>на передачу сторонним потребителям</t>
  </si>
  <si>
    <t xml:space="preserve"> 2010 год</t>
  </si>
  <si>
    <t xml:space="preserve"> и составят (тыс.руб. ) = 393,7 тыс.руб. х 1,079 =  </t>
  </si>
  <si>
    <r>
      <rPr>
        <b/>
        <sz val="11"/>
        <rFont val="Times New Roman"/>
        <family val="1"/>
        <charset val="204"/>
      </rPr>
      <t>На 2012 г.</t>
    </r>
    <r>
      <rPr>
        <sz val="11"/>
        <rFont val="Times New Roman"/>
        <family val="1"/>
        <charset val="204"/>
      </rPr>
      <t xml:space="preserve"> затраты по статье "электротехнические материалы" проиндексированы на К</t>
    </r>
    <r>
      <rPr>
        <vertAlign val="subscript"/>
        <sz val="11"/>
        <rFont val="Times New Roman"/>
        <family val="1"/>
        <charset val="204"/>
      </rPr>
      <t xml:space="preserve">инд.к 2010г. </t>
    </r>
    <r>
      <rPr>
        <sz val="11"/>
        <rFont val="Times New Roman"/>
        <family val="1"/>
        <charset val="204"/>
      </rPr>
      <t>= 1,079  И к =1,06</t>
    </r>
  </si>
  <si>
    <t>Экспертиза технологических потерь электрической энергии, расчет и обоснование тарифов на услуги по передаче электроэнергии , ЕИАС</t>
  </si>
  <si>
    <r>
      <t xml:space="preserve">Расходы на стандарты раскрытия информации организации, осуществляющей регулируемые виды деятельности </t>
    </r>
    <r>
      <rPr>
        <sz val="11"/>
        <rFont val="Times New Roman"/>
        <family val="1"/>
        <charset val="204"/>
      </rPr>
      <t>(публикация в газете Волжская коммуна  бухгалтерской отчетности)</t>
    </r>
  </si>
  <si>
    <t xml:space="preserve">     2011 г.           </t>
  </si>
  <si>
    <t xml:space="preserve">     2012 г.</t>
  </si>
  <si>
    <t>по участку электроснабжения ФГУП «ГНПРКЦ «ЦСКБ-Прогресс» 2011 г.</t>
  </si>
  <si>
    <t>Рабочие</t>
  </si>
  <si>
    <t>Среднесписочная численность ППП</t>
  </si>
  <si>
    <t>чел.</t>
  </si>
  <si>
    <t>Зарплата по тарифу (год)</t>
  </si>
  <si>
    <t>Среднемесячная тарифная ставка 1-ого ППП</t>
  </si>
  <si>
    <t>Процент выплат</t>
  </si>
  <si>
    <t>Текущие премирование (год)</t>
  </si>
  <si>
    <t>Текущие премирование 1-ого ППП</t>
  </si>
  <si>
    <t>Годовой ФОТ ППП</t>
  </si>
  <si>
    <t>Среднемесячная з/пл.со всеми выплатами 1-ого ППП</t>
  </si>
  <si>
    <t>По цеху 2426</t>
  </si>
  <si>
    <t xml:space="preserve"> тыс.руб. без НДС</t>
  </si>
  <si>
    <t>и составят = 621,1 х 1,06 =</t>
  </si>
  <si>
    <t>Сведения о численности и заработной плате электротехнического персонала цеха, участвующего</t>
  </si>
  <si>
    <t>Расчет амортизационных отчислений по линиям электропередач  и подстанциям, отнесенных на передачу эл.энергии субабонентам</t>
  </si>
  <si>
    <t>произведен пропорционально полезному отпуску:</t>
  </si>
  <si>
    <t>кВтч</t>
  </si>
  <si>
    <t>Расчет доли ФОТ ППП, отнесенного на передачу эл.энергии субабонентам произведен пропорционально полезному отпуску:</t>
  </si>
  <si>
    <t>Собственное потребление</t>
  </si>
  <si>
    <t>ООО "ЭТК "Содействие"</t>
  </si>
  <si>
    <t>№ КЭТ 0003024</t>
  </si>
  <si>
    <t>№ 10745</t>
  </si>
  <si>
    <t>31.05.10</t>
  </si>
  <si>
    <t>28.05.10</t>
  </si>
  <si>
    <t>№ КЭТ 0003011</t>
  </si>
  <si>
    <t>№ КЭТ 0002999</t>
  </si>
  <si>
    <t>21.06.10</t>
  </si>
  <si>
    <t>№ КЭТ 0003399</t>
  </si>
  <si>
    <t>№ КЭТ 0003411</t>
  </si>
  <si>
    <t>№ КЭТ 0003397</t>
  </si>
  <si>
    <t>№ КЭТ 0003443</t>
  </si>
  <si>
    <t>№ КЭТ 0003442</t>
  </si>
  <si>
    <t>№ КЭТ 0003432</t>
  </si>
  <si>
    <t>№ КЭТ 0003663</t>
  </si>
  <si>
    <t>02.07.10</t>
  </si>
  <si>
    <t>№ КЭТ 0003654</t>
  </si>
  <si>
    <t>№ КЭТ 0003655</t>
  </si>
  <si>
    <t>№ КЭТ 0003963</t>
  </si>
  <si>
    <t>20.07.10</t>
  </si>
  <si>
    <t>№ КЭТ 0003964</t>
  </si>
  <si>
    <t>№ КЭТ 0003956</t>
  </si>
  <si>
    <t>24.09.10</t>
  </si>
  <si>
    <t>№ КЭТ 0004933</t>
  </si>
  <si>
    <t>ООО "Раскат"</t>
  </si>
  <si>
    <t>№ 42</t>
  </si>
  <si>
    <t>№ 10804</t>
  </si>
  <si>
    <t>10.06.10</t>
  </si>
  <si>
    <t>№ 12032</t>
  </si>
  <si>
    <t>№ 12009</t>
  </si>
  <si>
    <t>№ 12001</t>
  </si>
  <si>
    <t>13.07.10</t>
  </si>
  <si>
    <t>№ 14959</t>
  </si>
  <si>
    <t>№ 14954</t>
  </si>
  <si>
    <t>№ 14933</t>
  </si>
  <si>
    <t>17.09.2010</t>
  </si>
  <si>
    <t>№ 20618</t>
  </si>
  <si>
    <r>
      <t xml:space="preserve">На </t>
    </r>
    <r>
      <rPr>
        <b/>
        <sz val="12"/>
        <rFont val="Times New Roman"/>
        <family val="1"/>
        <charset val="204"/>
      </rPr>
      <t xml:space="preserve">2012 г. </t>
    </r>
    <r>
      <rPr>
        <sz val="12"/>
        <rFont val="Times New Roman"/>
        <family val="1"/>
        <charset val="204"/>
      </rPr>
      <t>затраты по статье "вспомогательные материалы"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2011г. </t>
    </r>
    <r>
      <rPr>
        <sz val="12"/>
        <rFont val="Times New Roman"/>
        <family val="1"/>
        <charset val="204"/>
      </rPr>
      <t>= 1,06</t>
    </r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</si>
  <si>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ФГУП «ГНПРКЦ «ЦСКБ-Прогресс» 2010 г.</t>
  </si>
  <si>
    <t>НОУ «ЦДО «Промэнерго- безопасность»</t>
  </si>
  <si>
    <t>по плат.</t>
  </si>
  <si>
    <t>Организация информационного взаимодействия с органом исполнительной власти субъекта РФ в области государственного регулирования тарифов в рамках функционирования ЕАИС ФСТ</t>
  </si>
  <si>
    <t>Расчет НВВ на 2012 г., обеспечивающей компенсацию экономически обоснованных расходов на осуществление деятельности по передаче электрической энергии</t>
  </si>
  <si>
    <t>Дог. № 95/11 от 25.01.2011 г.</t>
  </si>
  <si>
    <t>Дог. № 94/11 от 25.01.2011 г.</t>
  </si>
  <si>
    <t>Дог. № 21/11 от 14.01.2011 г.</t>
  </si>
  <si>
    <t xml:space="preserve"> по участку электроснабжения  ФГУП «ГНПРКЦ «ЦСКБ-Прогресс» на 2012 г.</t>
  </si>
  <si>
    <t>Затраты по п.1 и п.3 рассчитаны на численность ППП по участку передачи эл.энергии сторонним потребителям - 15 чел.</t>
  </si>
  <si>
    <t>Затраты по п.6 "Расходы на приобретение спецодежды" рассчитаны на численность ППП по участку передачи эл.энергии</t>
  </si>
  <si>
    <t>по факту 2010 г. с учетом Кинд.к 2011г.= 1,079  и Кинд.к 2012г.=1,06</t>
  </si>
  <si>
    <t xml:space="preserve">Однотрансфор-маторная подстанция 35/0,4 кВ </t>
  </si>
  <si>
    <t>по данным Самараэнерго</t>
  </si>
  <si>
    <t>Приложение №  1</t>
  </si>
  <si>
    <t>верно</t>
  </si>
  <si>
    <t>Поступление</t>
  </si>
  <si>
    <r>
      <t>Структура полезного отпуска электрической энергии (мощности) на</t>
    </r>
    <r>
      <rPr>
        <b/>
        <sz val="12"/>
        <color indexed="10"/>
        <rFont val="Arial Cyr"/>
        <charset val="204"/>
      </rPr>
      <t xml:space="preserve"> 2012 год         </t>
    </r>
  </si>
  <si>
    <t xml:space="preserve">ФГУП «ГНПРКЦ «ЦСКБ-Прогресс» </t>
  </si>
  <si>
    <t>Электрическая энергия, тыс.кВт.ч</t>
  </si>
  <si>
    <t>в т.ч.:</t>
  </si>
  <si>
    <t>1.1  Прочие потребители</t>
  </si>
  <si>
    <t>ед.котл.</t>
  </si>
  <si>
    <t>1.2  Население, проживающее в городских населенных пунктах, оборудованных в установленном порядке стационарными газовыми плитами, а также потребители городских населенных пунктов, приравненные к населению</t>
  </si>
  <si>
    <t>1.3  Население, проживающее в домах, оборудованных в установленном порядке стационарными электроплитами; население, проживающее в сельских населенных пунктах, а также потребители сельских населенных пунктов, приравненные к населению</t>
  </si>
  <si>
    <t>Примечание: * -  договор оказания услуг по передаче электрической энергии № 3 от 01.01.11г.;</t>
  </si>
  <si>
    <t xml:space="preserve">                       *** -  договор на покупку электроэнергии в целях компенсации потерь № 1001Э от 01.01.2010г.</t>
  </si>
  <si>
    <t>Генеральный директор ОАО "Самараэнерго"</t>
  </si>
  <si>
    <t>_________________________Сойфер  М.В.</t>
  </si>
  <si>
    <t>(дата, ФИО, подпись)</t>
  </si>
  <si>
    <t>М.П.</t>
  </si>
  <si>
    <t>чччи насел.</t>
  </si>
  <si>
    <t>уточнили июнь 2011г.по самараэнерго</t>
  </si>
  <si>
    <t>На бланке организации</t>
  </si>
  <si>
    <t>Приложение № 1 
 к анкете организации, 
осуществляющей деятельность 
в электроэнергетике 
Самарской области</t>
  </si>
  <si>
    <t>Перечень</t>
  </si>
  <si>
    <t>потребителей электрической энергии</t>
  </si>
  <si>
    <t>№ п/п</t>
  </si>
  <si>
    <r>
      <t xml:space="preserve">Наименование  
организации –  абонента,  
</t>
    </r>
    <r>
      <rPr>
        <sz val="12"/>
        <color indexed="10"/>
        <rFont val="Times New Roman CYR"/>
        <charset val="204"/>
      </rPr>
      <t>юридический адрес, телефон</t>
    </r>
  </si>
  <si>
    <r>
      <t xml:space="preserve">Объем электрической энергии               2012 г.
</t>
    </r>
    <r>
      <rPr>
        <b/>
        <sz val="11"/>
        <rFont val="Times New Roman Cyr"/>
        <charset val="204"/>
      </rPr>
      <t>(тыс. кВтч)</t>
    </r>
  </si>
  <si>
    <r>
      <t xml:space="preserve">Заявленная мощность, </t>
    </r>
    <r>
      <rPr>
        <b/>
        <sz val="11"/>
        <rFont val="Times New Roman Cyr"/>
        <charset val="204"/>
      </rPr>
      <t>МВт</t>
    </r>
  </si>
  <si>
    <t>Конечные потребители ОАО "Самараэнерго"</t>
  </si>
  <si>
    <t>РЖД, собственное потребление</t>
  </si>
  <si>
    <t xml:space="preserve">“Самарский метрополитен” </t>
  </si>
  <si>
    <t>ИТОГО собственное потребление сетевых организаций</t>
  </si>
  <si>
    <t>ИТОГО прочие потребители</t>
  </si>
  <si>
    <t>гр.Население</t>
  </si>
  <si>
    <t>ИТОГО гр.население</t>
  </si>
  <si>
    <t>Итого конечные потребители ОАО "Самараэнерго"</t>
  </si>
  <si>
    <t>Сетевые организации -транзит</t>
  </si>
  <si>
    <r>
      <t xml:space="preserve">Куйбышевская дирекция по энергообеспечению – структурное подразделение Трансэнерго - филиал ОАО "РЖД", </t>
    </r>
    <r>
      <rPr>
        <sz val="12"/>
        <color indexed="10"/>
        <rFont val="Times New Roman CYR"/>
        <charset val="204"/>
      </rPr>
      <t>107174, г. Москва, ул. Новая Басманная, д.2, тел. (846) 270-73-56,270-73-57,30-45-86 (дог.отд.), факс. (846) 270-73-56, 270-73-57</t>
    </r>
  </si>
  <si>
    <t>в т.ч. Транзит</t>
  </si>
  <si>
    <t>заявка 2012г.</t>
  </si>
  <si>
    <t>в т.ч. Собственное потребление</t>
  </si>
  <si>
    <t>РЖД собств.</t>
  </si>
  <si>
    <r>
      <t>ООО "Энерго", 443035,</t>
    </r>
    <r>
      <rPr>
        <sz val="12"/>
        <color indexed="10"/>
        <rFont val="Times New Roman CYR"/>
        <charset val="204"/>
      </rPr>
      <t xml:space="preserve"> г.Самара, ул. Минская, д.25, тел.269-13-71 </t>
    </r>
  </si>
  <si>
    <t>з.м.</t>
  </si>
  <si>
    <t>Энерго заявка на 13.04.2011</t>
  </si>
  <si>
    <r>
      <t xml:space="preserve">ЗАО "ССК", </t>
    </r>
    <r>
      <rPr>
        <sz val="12"/>
        <color indexed="10"/>
        <rFont val="Times New Roman CYR"/>
        <charset val="204"/>
      </rPr>
      <t>443546, Самарская обл., Волжский район, пос. Петра Дубрава, ул. Коммунаров, 3, тел./факс (846) 342-60-00</t>
    </r>
  </si>
  <si>
    <t xml:space="preserve">“Самарский метрополитен” (Муниципальное предприятие г.о. Самара), 443079, ул. Гагарина, 11-а
</t>
  </si>
  <si>
    <t>Итого ТРАНЗИТ</t>
  </si>
  <si>
    <t>ИТОГО ПЕРЕДАЧА ЭЛЕКТРИЧЕСКОЙ ЭНЕРГИИ</t>
  </si>
  <si>
    <t>Первый зам. генерального директора</t>
  </si>
  <si>
    <r>
      <t xml:space="preserve">                        ** -  договор энергоснабжения </t>
    </r>
    <r>
      <rPr>
        <b/>
        <sz val="11"/>
        <color indexed="10"/>
        <rFont val="Arial Cyr"/>
        <charset val="204"/>
      </rPr>
      <t>№ 0028Э от 01.02.2010 г.</t>
    </r>
  </si>
  <si>
    <t>**</t>
  </si>
  <si>
    <t>отпуск</t>
  </si>
  <si>
    <t>Энергонефть</t>
  </si>
  <si>
    <t>"Самарский метрополитен"   ______________________________________</t>
  </si>
  <si>
    <t xml:space="preserve">Цех 2426 </t>
  </si>
  <si>
    <t>Цех 2496 (подсобное хозяйство)</t>
  </si>
  <si>
    <t>ООО "Техкомплектсервис"</t>
  </si>
  <si>
    <t>04.02.10</t>
  </si>
  <si>
    <t>19.07.10</t>
  </si>
  <si>
    <t>08.02.10</t>
  </si>
  <si>
    <t>№ Тк0019</t>
  </si>
  <si>
    <t>26.02.10</t>
  </si>
  <si>
    <t>№ Тк0038</t>
  </si>
  <si>
    <t>01.03.10</t>
  </si>
  <si>
    <t>№ Тк0039</t>
  </si>
  <si>
    <t>18.03.10</t>
  </si>
  <si>
    <t>№ Тк0054</t>
  </si>
  <si>
    <t>№ Тк0055</t>
  </si>
  <si>
    <t>04.05.10</t>
  </si>
  <si>
    <t>№ Тк0100</t>
  </si>
  <si>
    <t>01.04.10</t>
  </si>
  <si>
    <t>№ Тк0069</t>
  </si>
  <si>
    <t>06.05.10</t>
  </si>
  <si>
    <t>№ Тк0104</t>
  </si>
  <si>
    <t>11.06.10</t>
  </si>
  <si>
    <t>№ Тк0157</t>
  </si>
  <si>
    <t>№ Тк0167</t>
  </si>
  <si>
    <t>№ Тк0168</t>
  </si>
  <si>
    <t>30.06.10</t>
  </si>
  <si>
    <t>№ Тк0177</t>
  </si>
  <si>
    <t>ООО "ЭТМ"</t>
  </si>
  <si>
    <t>№ 2.п09.41403</t>
  </si>
  <si>
    <t>№ Тк0181</t>
  </si>
  <si>
    <t>16.07.10</t>
  </si>
  <si>
    <t>№ Тк0196</t>
  </si>
  <si>
    <t>30.08.10</t>
  </si>
  <si>
    <t>№ Тк0241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</si>
  <si>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</si>
  <si>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</si>
  <si>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</si>
  <si>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</si>
  <si>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</si>
  <si>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</si>
  <si>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</si>
  <si>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</si>
  <si>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</si>
  <si>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</si>
  <si>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</si>
  <si>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10.09.10</t>
  </si>
  <si>
    <t>№ 2.п07.1336</t>
  </si>
  <si>
    <t>01.10.10</t>
  </si>
  <si>
    <t>№ Тк0267</t>
  </si>
  <si>
    <t>20.10.10</t>
  </si>
  <si>
    <t>№ Тк0292</t>
  </si>
  <si>
    <t>15.10.10</t>
  </si>
  <si>
    <t>№ Тк0285</t>
  </si>
  <si>
    <t>№ 00000309</t>
  </si>
  <si>
    <t>13.11.10</t>
  </si>
  <si>
    <t>03.11.10</t>
  </si>
  <si>
    <t>№ 00000322</t>
  </si>
  <si>
    <t>№ 00000323</t>
  </si>
  <si>
    <t>27.12.10</t>
  </si>
  <si>
    <t>№ Тк0014</t>
  </si>
  <si>
    <t>27.</t>
  </si>
  <si>
    <t>№ Тк0363</t>
  </si>
  <si>
    <t xml:space="preserve">По цеху 2426 </t>
  </si>
  <si>
    <t>По цеху 2496 ПСХ</t>
  </si>
  <si>
    <t>ПСХ</t>
  </si>
  <si>
    <t xml:space="preserve"> ЗАО ССК</t>
  </si>
  <si>
    <t>На передачу потребителям всего :</t>
  </si>
  <si>
    <t xml:space="preserve"> в т.ч.</t>
  </si>
  <si>
    <t>конечные потребители</t>
  </si>
  <si>
    <r>
      <t>Затраты на электротехнические материалы в расчет тарифа</t>
    </r>
    <r>
      <rPr>
        <b/>
        <sz val="12"/>
        <rFont val="Times New Roman"/>
        <family val="1"/>
        <charset val="204"/>
      </rPr>
      <t xml:space="preserve"> на 2011 г.</t>
    </r>
    <r>
      <rPr>
        <sz val="12"/>
        <rFont val="Times New Roman"/>
        <family val="1"/>
        <charset val="204"/>
      </rPr>
      <t xml:space="preserve"> по участку ПСХ на передачу сторонним </t>
    </r>
  </si>
  <si>
    <t>потребителям составят:</t>
  </si>
  <si>
    <t>с Кинд.к 2010г. 1,079 пропорционально полезному отпуску:</t>
  </si>
  <si>
    <r>
      <t xml:space="preserve">На </t>
    </r>
    <r>
      <rPr>
        <b/>
        <sz val="12"/>
        <rFont val="Times New Roman"/>
        <family val="1"/>
        <charset val="204"/>
      </rPr>
      <t xml:space="preserve">2012 г. </t>
    </r>
    <r>
      <rPr>
        <sz val="12"/>
        <rFont val="Times New Roman"/>
        <family val="1"/>
        <charset val="204"/>
      </rPr>
      <t>затраты по статье "вспомогательные материалы" по участку ПСХ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2011г. </t>
    </r>
    <r>
      <rPr>
        <sz val="12"/>
        <rFont val="Times New Roman"/>
        <family val="1"/>
        <charset val="204"/>
      </rPr>
      <t>= 1,06</t>
    </r>
  </si>
  <si>
    <t>и составят = 87,9 х 1,06 =</t>
  </si>
  <si>
    <t xml:space="preserve">Итого затраты по статье "вспомогательные материалы" на передачу сторонним потребителям </t>
  </si>
  <si>
    <t>ФГУП «ГНПРКЦ «ЦСКБ-Прогресс» составляют:</t>
  </si>
  <si>
    <t>тыс.руб. без НДС</t>
  </si>
  <si>
    <r>
      <rPr>
        <b/>
        <sz val="12"/>
        <color indexed="9"/>
        <rFont val="Times New Roman"/>
        <family val="1"/>
        <charset val="204"/>
      </rPr>
      <t>2011 г.</t>
    </r>
    <r>
      <rPr>
        <sz val="12"/>
        <color indexed="9"/>
        <rFont val="Times New Roman"/>
        <family val="1"/>
        <charset val="204"/>
      </rPr>
      <t xml:space="preserve"> = 621,1 тыс.руб. + 87, 9 тыс.руб. =</t>
    </r>
  </si>
  <si>
    <t>без ПСХ</t>
  </si>
  <si>
    <t>стр-ра измен., сторонн.меньше- Энерго ум.</t>
  </si>
  <si>
    <t xml:space="preserve">БЫЛО </t>
  </si>
  <si>
    <t>03.02.2010</t>
  </si>
  <si>
    <t>12.02.2010</t>
  </si>
  <si>
    <t>15.03.2010</t>
  </si>
  <si>
    <t>19.02.2010</t>
  </si>
  <si>
    <t>01.04.2010</t>
  </si>
  <si>
    <t>30.03.2010</t>
  </si>
  <si>
    <t>06.05.2010</t>
  </si>
  <si>
    <t>15.04.2010</t>
  </si>
  <si>
    <t>25.05.2010</t>
  </si>
  <si>
    <t>12.05.2010</t>
  </si>
  <si>
    <t>15.06.2010</t>
  </si>
  <si>
    <t>24.06.2010</t>
  </si>
  <si>
    <t>21.06.2010</t>
  </si>
  <si>
    <t>29.06.2010</t>
  </si>
  <si>
    <t>09.08.2010.</t>
  </si>
  <si>
    <t>03.09.2010</t>
  </si>
  <si>
    <t>11.10.2010</t>
  </si>
  <si>
    <t>18.10.2010</t>
  </si>
  <si>
    <t>10.11.2010</t>
  </si>
  <si>
    <t>12.11.2010</t>
  </si>
  <si>
    <t>11.01.11</t>
  </si>
  <si>
    <t>№ Тк0001</t>
  </si>
  <si>
    <t>ООО "Торговый дом техноград"</t>
  </si>
  <si>
    <t>28.</t>
  </si>
  <si>
    <t>10.06.2011</t>
  </si>
  <si>
    <t>15.06.2011</t>
  </si>
  <si>
    <t>17.06.2011</t>
  </si>
  <si>
    <t>1 полугодие 2011 г.</t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</si>
  <si>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ФГУП «ГНПРКЦ «ЦСКБ-Прогресс» за 1 полугодие 2011 г.</t>
  </si>
  <si>
    <t>24.06.2011</t>
  </si>
  <si>
    <t>25.03.2011</t>
  </si>
  <si>
    <t>31.05.2011</t>
  </si>
  <si>
    <r>
      <rPr>
        <b/>
        <sz val="12"/>
        <color indexed="9"/>
        <rFont val="Times New Roman"/>
        <family val="1"/>
        <charset val="204"/>
      </rPr>
      <t>2012 г.</t>
    </r>
    <r>
      <rPr>
        <sz val="12"/>
        <color indexed="9"/>
        <rFont val="Times New Roman"/>
        <family val="1"/>
        <charset val="204"/>
      </rPr>
      <t xml:space="preserve"> = 670,2 тыс.руб. + 93,2 тыс.руб. =</t>
    </r>
  </si>
  <si>
    <t>Подстанции цех 2496 (подсобное сельское хоз-во)</t>
  </si>
  <si>
    <t>Итого подстанции</t>
  </si>
  <si>
    <t>Сеть кабельная отд. 2680</t>
  </si>
  <si>
    <t>Подстанции отд. 2680</t>
  </si>
  <si>
    <t>1. ПОЛЕЗНЫЙ ОТПУСК КОНЕЧНЫМ ПОТРЕБИТЕЛЯМ                                                                                                                               *договор оказания услуг по передаче электрической энергии № 3 от 01.01.11г.</t>
  </si>
  <si>
    <t>2. СОБСТВЕННОЕ ПОТРЕБЛЕНИЕ                                                                                                                                                                                                                                                    ** договор энергоснабжения № 0028Э от 01.02.2010 г.</t>
  </si>
  <si>
    <t>3. ТЕХНОЛОГИЧЕСКИЙ РАСХОД (ПОТЕРИ) ЭЛЕКТРИЧЕСКОЙ ЭНЕРГИИ (МОЩНОСТИ) ПРИ ПЕРЕДАЧЕ ПО ЭЛЕКТРИЧЕСКИМ СЕТЯМ                                                                                                                                                                                         ***договор на покупку электроэнергии в целях компенсации потерь № 1001Э от 01.01.2010г.</t>
  </si>
  <si>
    <t>Первый зам. генерального директора - главный инженер</t>
  </si>
  <si>
    <t xml:space="preserve">_______________________ Тюлевин С. В. </t>
  </si>
  <si>
    <t>ООО "Энергонефть Самара"</t>
  </si>
  <si>
    <t>Руководитель  ООО "Энергонефть Самара"   ____________________________________</t>
  </si>
  <si>
    <t>Амортизационные отчисления по линиям электропередач  и подстанциям на передачу эл.энергии субабонентам составят   = 422 484 руб. х 20,55% = 86 820,46 руб.</t>
  </si>
  <si>
    <t xml:space="preserve">Передача эл. энергии потребителям </t>
  </si>
  <si>
    <t>ВЛЭП цех 2496 (подсобное сельское хоз-во)</t>
  </si>
  <si>
    <t xml:space="preserve">Линии электропередач </t>
  </si>
  <si>
    <t>Остаточная стоимость         на 01.01.13г.</t>
  </si>
  <si>
    <t>измен.доля на потребит -раб., амортиз, ОХР</t>
  </si>
  <si>
    <t xml:space="preserve">стало - </t>
  </si>
  <si>
    <t>ЭНЕРГО было -</t>
  </si>
  <si>
    <t>тыс.квтч</t>
  </si>
  <si>
    <t>21,37% было</t>
  </si>
  <si>
    <t>стало 20,55%</t>
  </si>
  <si>
    <t>По цеху 2496 (ПСХ)</t>
  </si>
  <si>
    <t>По цеху 2426 +по цеху 2496 (ПСХ)</t>
  </si>
  <si>
    <t>в процессе передачи эл.энергии для субабонентов (пром.площадка + ПСХ)</t>
  </si>
  <si>
    <r>
      <t xml:space="preserve">в т.ч. на передачу электроэнергии субабонентам </t>
    </r>
    <r>
      <rPr>
        <sz val="11"/>
        <rFont val="Times New Roman"/>
        <family val="1"/>
        <charset val="204"/>
      </rPr>
      <t xml:space="preserve"> </t>
    </r>
  </si>
  <si>
    <t>по данным документа "ФОТ работников ФГУП «ГНПРКЦ «ЦСКБ-Прогресс» цех 2496, связанных с передачей электрической энергии за 12 месяцев 2010 г.(стр.___ )</t>
  </si>
  <si>
    <r>
      <t>РСС +</t>
    </r>
    <r>
      <rPr>
        <sz val="10"/>
        <rFont val="Times New Roman"/>
        <family val="1"/>
        <charset val="204"/>
      </rPr>
      <t xml:space="preserve"> всп.раб.</t>
    </r>
  </si>
  <si>
    <t xml:space="preserve">РСС </t>
  </si>
  <si>
    <t>по з-пл.</t>
  </si>
  <si>
    <t>По участку ПСХ на передачу эл.энергии субабонентам  принята численность: рабочих в количестве 1 чел.; РСС - 0,2 чел.</t>
  </si>
  <si>
    <t>Численность, чел.</t>
  </si>
  <si>
    <t xml:space="preserve">рабочие </t>
  </si>
  <si>
    <t>РСС</t>
  </si>
  <si>
    <t>Доля, %</t>
  </si>
  <si>
    <t>Отпуск,</t>
  </si>
  <si>
    <r>
      <t xml:space="preserve">Расчет </t>
    </r>
    <r>
      <rPr>
        <b/>
        <i/>
        <sz val="12"/>
        <rFont val="Times New Roman"/>
        <family val="1"/>
        <charset val="204"/>
      </rPr>
      <t>ФОТ</t>
    </r>
    <r>
      <rPr>
        <sz val="12"/>
        <rFont val="Times New Roman"/>
        <family val="1"/>
        <charset val="204"/>
      </rPr>
      <t xml:space="preserve"> работников по участку </t>
    </r>
    <r>
      <rPr>
        <b/>
        <i/>
        <sz val="12"/>
        <rFont val="Times New Roman"/>
        <family val="1"/>
        <charset val="204"/>
      </rPr>
      <t>передачи эл.энергии субабонентам</t>
    </r>
    <r>
      <rPr>
        <sz val="12"/>
        <rFont val="Times New Roman"/>
        <family val="1"/>
        <charset val="204"/>
      </rPr>
      <t xml:space="preserve">  произведен исходя из фактически сложившихся за 2010 г. среднемесячной</t>
    </r>
  </si>
  <si>
    <t>тарифной ставки, процентов выплат и премии электротехничекого персонала цеха 2496 (ПСХ).</t>
  </si>
  <si>
    <r>
      <t xml:space="preserve">Расчет </t>
    </r>
    <r>
      <rPr>
        <b/>
        <i/>
        <sz val="12"/>
        <rFont val="Times New Roman"/>
        <family val="1"/>
        <charset val="204"/>
      </rPr>
      <t>ФОТ</t>
    </r>
    <r>
      <rPr>
        <sz val="12"/>
        <rFont val="Times New Roman"/>
        <family val="1"/>
        <charset val="204"/>
      </rPr>
      <t xml:space="preserve"> работников по участку </t>
    </r>
    <r>
      <rPr>
        <b/>
        <i/>
        <sz val="12"/>
        <rFont val="Times New Roman"/>
        <family val="1"/>
        <charset val="204"/>
      </rPr>
      <t>передачи эл.энергии субабонентам</t>
    </r>
    <r>
      <rPr>
        <sz val="12"/>
        <rFont val="Times New Roman"/>
        <family val="1"/>
        <charset val="204"/>
      </rPr>
      <t xml:space="preserve">  произведен исходя из среднемесячной тарифной ставки, </t>
    </r>
  </si>
  <si>
    <t>процентов выплат и премии электротехничекого персонала цеха 2426 (пром.площадка), связанного с передачей эл.энергии.</t>
  </si>
  <si>
    <t>в процессе передачи эл.энергии для субабонентов (цех 2496 участок подсобного сельского хозяйства)</t>
  </si>
  <si>
    <t>Сведения о численности и заработной плате электротехнического персонала, участвующего</t>
  </si>
  <si>
    <t xml:space="preserve">Выплаты, связанные с режимом работы с условиями труда </t>
  </si>
  <si>
    <t>Процент премирования (к тарифной ставке)</t>
  </si>
  <si>
    <t>2012г.</t>
  </si>
  <si>
    <t>2011г. с Кинд.на 2012г.=1,06</t>
  </si>
  <si>
    <t>сторонним потребителям - 16 чел.</t>
  </si>
  <si>
    <t>от ООО "Энергонефть Самара"</t>
  </si>
  <si>
    <t>Другие прочие расходы (ОХР)</t>
  </si>
  <si>
    <t>уточненные электротехнические материалы - с учетом участка ПСХ (п.7)</t>
  </si>
  <si>
    <t>432 350,04 /1,18 /1000 х 1,079 х22,23%=</t>
  </si>
  <si>
    <t xml:space="preserve">679 275,89 /1,18 /1000 х 1,079= </t>
  </si>
  <si>
    <t>Обучение (повышение квалификации по направлению «Электроэнергетика» , проведение предэкзаменационной подготовки электротехнического персонала )</t>
  </si>
  <si>
    <t>Прочие расходы (содержание лабораторий, охрана труда, аттестация раб.мест, канцтовары, служ.поездки, испытания, прочие общехоз. и управл.расх.)</t>
  </si>
  <si>
    <t>Прочие затраты по содержанию и эксплуатации оборудования</t>
  </si>
  <si>
    <r>
      <t xml:space="preserve">Затраты на приобретение спецодежды - </t>
    </r>
    <r>
      <rPr>
        <b/>
        <sz val="10"/>
        <rFont val="Times New Roman"/>
        <family val="1"/>
        <charset val="204"/>
      </rPr>
      <t>50,3 тыс.руб</t>
    </r>
    <r>
      <rPr>
        <sz val="10"/>
        <rFont val="Times New Roman"/>
        <family val="1"/>
        <charset val="204"/>
      </rPr>
      <t>.; инструменты, СИЗ, огнетушители -</t>
    </r>
    <r>
      <rPr>
        <b/>
        <sz val="10"/>
        <rFont val="Times New Roman"/>
        <family val="1"/>
        <charset val="204"/>
      </rPr>
      <t>32,0 тыс.руб.</t>
    </r>
  </si>
  <si>
    <r>
      <t>Затраты на электротехнические материалы по участку ПСХ в расчет тарифов</t>
    </r>
    <r>
      <rPr>
        <b/>
        <sz val="12"/>
        <rFont val="Times New Roman"/>
        <family val="1"/>
        <charset val="204"/>
      </rPr>
      <t xml:space="preserve"> на 2011 г.</t>
    </r>
    <r>
      <rPr>
        <sz val="12"/>
        <rFont val="Times New Roman"/>
        <family val="1"/>
        <charset val="204"/>
      </rPr>
      <t xml:space="preserve"> взяты </t>
    </r>
  </si>
  <si>
    <r>
      <t>Затраты на электротехнические материалы в расчет тарифов</t>
    </r>
    <r>
      <rPr>
        <b/>
        <sz val="12"/>
        <rFont val="Times New Roman"/>
        <family val="1"/>
        <charset val="204"/>
      </rPr>
      <t xml:space="preserve"> на 2011 г.</t>
    </r>
    <r>
      <rPr>
        <sz val="12"/>
        <rFont val="Times New Roman"/>
        <family val="1"/>
        <charset val="204"/>
      </rPr>
      <t xml:space="preserve"> взяты с К</t>
    </r>
    <r>
      <rPr>
        <vertAlign val="subscript"/>
        <sz val="12"/>
        <rFont val="Times New Roman"/>
        <family val="1"/>
        <charset val="204"/>
      </rPr>
      <t xml:space="preserve">инд.к 2010г. </t>
    </r>
    <r>
      <rPr>
        <sz val="12"/>
        <rFont val="Times New Roman"/>
        <family val="1"/>
        <charset val="204"/>
      </rPr>
      <t>1,079  и составят:</t>
    </r>
  </si>
  <si>
    <t>Приложение № 2</t>
  </si>
  <si>
    <t>проверить % потерь на потребителя</t>
  </si>
  <si>
    <t>к Приказу  УГРКЭ Самарской области</t>
  </si>
  <si>
    <t>от 04.04.2005 № 10</t>
  </si>
  <si>
    <t>Структура полезного отпуска  электрической энергии ФГУП «ГНПРКЦ «ЦСКБ-Прогресс»</t>
  </si>
  <si>
    <t xml:space="preserve">  2011 г. (базовый период)</t>
  </si>
  <si>
    <t xml:space="preserve"> 2012 г. (период регулирования)</t>
  </si>
  <si>
    <t>План</t>
  </si>
  <si>
    <t>ВН (110 кВ и выше)</t>
  </si>
  <si>
    <t>СН I (35 кВ)</t>
  </si>
  <si>
    <t>СН II (20-1 кВ)</t>
  </si>
  <si>
    <t>НН (0,4 кВ и ниже)</t>
  </si>
  <si>
    <t>ВСЕГО</t>
  </si>
  <si>
    <t>СН I (35кВ)</t>
  </si>
  <si>
    <t>тыс. кВтч</t>
  </si>
  <si>
    <t>Поступление в сеть всего</t>
  </si>
  <si>
    <t xml:space="preserve">    от собственных источников</t>
  </si>
  <si>
    <t xml:space="preserve">     с ФОРЭМ</t>
  </si>
  <si>
    <t xml:space="preserve">     от ОАО "МРСК Волги"</t>
  </si>
  <si>
    <t>% 2011 г.</t>
  </si>
  <si>
    <t>% 2012 г.</t>
  </si>
  <si>
    <t xml:space="preserve">Расход электроэнергии на хозяйственные нужды </t>
  </si>
  <si>
    <t>Расчетные потери - всего</t>
  </si>
  <si>
    <t xml:space="preserve">     отнесенные на собственное производство (потребление)</t>
  </si>
  <si>
    <t xml:space="preserve">     отнесенные на транзит</t>
  </si>
  <si>
    <t xml:space="preserve">     отнесенные на полезный отпуск собственным потребителям</t>
  </si>
  <si>
    <t>Передача по транзиту (сальдо-переток)</t>
  </si>
  <si>
    <t>Полезный отпуск собственным потребителям - всего</t>
  </si>
  <si>
    <t xml:space="preserve">  Бюджетные потребители</t>
  </si>
  <si>
    <t xml:space="preserve">  Учреждения департамента социальной защиты</t>
  </si>
  <si>
    <t xml:space="preserve">  Население и приравненные к нему потребители - всего</t>
  </si>
  <si>
    <t>6.3.1.</t>
  </si>
  <si>
    <t xml:space="preserve">     Население городское</t>
  </si>
  <si>
    <t>6.3.2.</t>
  </si>
  <si>
    <t xml:space="preserve">     Население городское с электроплитами</t>
  </si>
  <si>
    <t>6.3.3.</t>
  </si>
  <si>
    <t xml:space="preserve">     Население сельское</t>
  </si>
  <si>
    <t>6.3.4.</t>
  </si>
  <si>
    <t xml:space="preserve">     Населенные пункты городские</t>
  </si>
  <si>
    <t>6.3.5.</t>
  </si>
  <si>
    <t xml:space="preserve">     Населенные пункты сельские</t>
  </si>
  <si>
    <t>6.3.6.</t>
  </si>
  <si>
    <t xml:space="preserve">     Садоводческие товарищества,ГСК, ЖСК,ДСК,религиозные организации городское</t>
  </si>
  <si>
    <t>6.3.7.</t>
  </si>
  <si>
    <t xml:space="preserve">     Садоводческие товарищества,ГСК, ЖСК,ДСК,религиозные организации сельское</t>
  </si>
  <si>
    <t>6.3.8.</t>
  </si>
  <si>
    <t xml:space="preserve">     Жилищные организации на технологические цели</t>
  </si>
  <si>
    <t>6.4.</t>
  </si>
  <si>
    <t xml:space="preserve">  Прочие потребители - всего</t>
  </si>
  <si>
    <t>6.4.1.</t>
  </si>
  <si>
    <t xml:space="preserve">     Промышленные потребители &gt; 750 кВА (двухставочный тариф)</t>
  </si>
  <si>
    <t>6.4.1.1.</t>
  </si>
  <si>
    <t xml:space="preserve">     Заявленная мощность для промышленных потребителей &gt; 750 кВА, МВт*</t>
  </si>
  <si>
    <t>6.4.2.</t>
  </si>
  <si>
    <t xml:space="preserve">     Промышленные потребители &lt; 750 кВА (одноставочный тариф)</t>
  </si>
  <si>
    <t>6.4.3.</t>
  </si>
  <si>
    <t xml:space="preserve">     Непромышленные потребители</t>
  </si>
  <si>
    <t>6.4.4.</t>
  </si>
  <si>
    <t xml:space="preserve">     Электрифицированный ж/д транспорт (электротяга)</t>
  </si>
  <si>
    <t>6.4.5.</t>
  </si>
  <si>
    <t xml:space="preserve">     Электрифицированный ж/д транспорт (кроме электротяги)</t>
  </si>
  <si>
    <t>6.4.6.</t>
  </si>
  <si>
    <t xml:space="preserve">     Электрифицированный городской транспорт (электротяга)</t>
  </si>
  <si>
    <t>6.4.7.</t>
  </si>
  <si>
    <t xml:space="preserve">     Электрифицированный городской транспорт, включая метро (кроме электротяги)</t>
  </si>
  <si>
    <t>6.4.8.</t>
  </si>
  <si>
    <t xml:space="preserve">     Сельскохозяйственные потребители</t>
  </si>
  <si>
    <t>6.4.9.</t>
  </si>
  <si>
    <t xml:space="preserve">     Другие ЭСО (ОПП) указать</t>
  </si>
  <si>
    <t>6.5.</t>
  </si>
  <si>
    <t xml:space="preserve">  Базовые потребители</t>
  </si>
  <si>
    <t>Харитонова ЛС.</t>
  </si>
  <si>
    <r>
      <t xml:space="preserve">           СН II несетевым организациям </t>
    </r>
    <r>
      <rPr>
        <sz val="11"/>
        <color indexed="10"/>
        <rFont val="Times New Roman"/>
        <family val="1"/>
        <charset val="204"/>
      </rPr>
      <t>(НАСЕЛЕНИЕ)</t>
    </r>
  </si>
  <si>
    <t xml:space="preserve">           НН несетевым организациям </t>
  </si>
  <si>
    <t xml:space="preserve">в т.ч. ВН несетевым организациям </t>
  </si>
  <si>
    <t>Платежи ОАО "Самараэнерго" в адрес ФГУП «ГНПРКЦ «ЦСКБ-Прогресс»</t>
  </si>
  <si>
    <t>Платежи ФГУП «ГНПРКЦ «ЦСКБ-Прогресс» в адрес:</t>
  </si>
  <si>
    <t>Платежи в адрес ФГУП «ГНПРКЦ «ЦСКБ-Прогресс» от смежных сетевых всего:</t>
  </si>
  <si>
    <t>ЗАО "ССК"</t>
  </si>
  <si>
    <t>ОАО "РЖД"</t>
  </si>
  <si>
    <t>МП г.о.Самара "Самарский  метрополитен"</t>
  </si>
  <si>
    <t>Потери в сетях ФГУП «ГНПРКЦ «ЦСКБ-Прогресс» на потребителя -</t>
  </si>
  <si>
    <t>по дог.должно получ.</t>
  </si>
  <si>
    <t>Единые (котловые) тарифы на услуги по передаче</t>
  </si>
  <si>
    <t xml:space="preserve">электрической энергии по сетям Самарской области </t>
  </si>
  <si>
    <t>Уровень напря- жения</t>
  </si>
  <si>
    <t>2-х ставочный</t>
  </si>
  <si>
    <t>одноставочный</t>
  </si>
  <si>
    <t>Индекс роста к пред.                 году</t>
  </si>
  <si>
    <r>
      <t>Т</t>
    </r>
    <r>
      <rPr>
        <b/>
        <vertAlign val="superscript"/>
        <sz val="10"/>
        <rFont val="Times New Roman"/>
        <family val="1"/>
        <charset val="204"/>
      </rPr>
      <t>СОД</t>
    </r>
  </si>
  <si>
    <r>
      <t>Т</t>
    </r>
    <r>
      <rPr>
        <b/>
        <vertAlign val="superscript"/>
        <sz val="10"/>
        <rFont val="Times New Roman"/>
        <family val="1"/>
        <charset val="204"/>
      </rPr>
      <t>ПОТ</t>
    </r>
  </si>
  <si>
    <t>час.</t>
  </si>
  <si>
    <t>на 2011г. изм. пр.27 от 28.04.11</t>
  </si>
  <si>
    <t>с 01.01.2011</t>
  </si>
  <si>
    <t>2011 г. к 2009 г. (за два года)</t>
  </si>
  <si>
    <t>двухстав.</t>
  </si>
  <si>
    <t>одностав.</t>
  </si>
  <si>
    <t>содерж.</t>
  </si>
  <si>
    <t>опл.пот.</t>
  </si>
  <si>
    <t>2013 г.</t>
  </si>
  <si>
    <t>2014 г.</t>
  </si>
  <si>
    <t>2015 г.</t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</si>
  <si>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2012 г.</t>
    </r>
  </si>
  <si>
    <r>
      <t xml:space="preserve">Объемы организ.по стр-ре от 29.04.11г. </t>
    </r>
    <r>
      <rPr>
        <b/>
        <sz val="10"/>
        <color indexed="10"/>
        <rFont val="Calibri"/>
        <family val="2"/>
        <charset val="204"/>
      </rPr>
      <t>≈ факт.2010г.</t>
    </r>
  </si>
  <si>
    <t>др.стр-ра</t>
  </si>
  <si>
    <t>Объемы организ.по стр-ре Самараэнерго</t>
  </si>
  <si>
    <t>ЗАО "ССК" (п.77)</t>
  </si>
  <si>
    <t>ОАО "РЖД" (п.78)</t>
  </si>
  <si>
    <t>ООО "Энерго" (п.48)</t>
  </si>
  <si>
    <t>МП г.о.Самара "Самарский  метрополитен" (п.123)</t>
  </si>
  <si>
    <t>ОАО "МРСК Волги" (п.162)</t>
  </si>
  <si>
    <t>ООО "Энергонефть Самара"  ????</t>
  </si>
  <si>
    <t>по 2- став.</t>
  </si>
  <si>
    <t>по одностав. 2012 г.</t>
  </si>
  <si>
    <t>1 полугодие 2012 г.</t>
  </si>
  <si>
    <t>при работе по 2-х став.тарифу с ОАО "МРСК Волги"</t>
  </si>
  <si>
    <t>платит Самараэнерго по одноставочным</t>
  </si>
  <si>
    <t>ччим</t>
  </si>
  <si>
    <t>2 полугодие 2012 г.</t>
  </si>
  <si>
    <r>
      <t>МП г.о.Самара "Самарский  метрополитен"</t>
    </r>
    <r>
      <rPr>
        <b/>
        <i/>
        <sz val="12"/>
        <color indexed="10"/>
        <rFont val="Times New Roman"/>
        <family val="1"/>
        <charset val="204"/>
      </rPr>
      <t xml:space="preserve"> (п.57)</t>
    </r>
  </si>
  <si>
    <r>
      <t xml:space="preserve">ЗАО "ССК" </t>
    </r>
    <r>
      <rPr>
        <b/>
        <i/>
        <sz val="12"/>
        <color indexed="10"/>
        <rFont val="Times New Roman"/>
        <family val="1"/>
        <charset val="204"/>
      </rPr>
      <t>(п.179)</t>
    </r>
  </si>
  <si>
    <r>
      <t>ОАО "РЖД"</t>
    </r>
    <r>
      <rPr>
        <b/>
        <i/>
        <sz val="12"/>
        <color indexed="10"/>
        <rFont val="Times New Roman"/>
        <family val="1"/>
        <charset val="204"/>
      </rPr>
      <t xml:space="preserve"> (п.180)</t>
    </r>
  </si>
  <si>
    <r>
      <t>ООО "Энерго"</t>
    </r>
    <r>
      <rPr>
        <b/>
        <i/>
        <sz val="12"/>
        <color indexed="10"/>
        <rFont val="Times New Roman"/>
        <family val="1"/>
        <charset val="204"/>
      </rPr>
      <t xml:space="preserve"> (п.140)</t>
    </r>
  </si>
  <si>
    <r>
      <t xml:space="preserve">ООО "Энергонефть Самара" </t>
    </r>
    <r>
      <rPr>
        <b/>
        <i/>
        <sz val="12"/>
        <color indexed="10"/>
        <rFont val="Times New Roman"/>
        <family val="1"/>
        <charset val="204"/>
      </rPr>
      <t>(п.182)</t>
    </r>
  </si>
  <si>
    <r>
      <t xml:space="preserve">ОАО "МРСК Волги" </t>
    </r>
    <r>
      <rPr>
        <b/>
        <i/>
        <sz val="12"/>
        <color indexed="10"/>
        <rFont val="Times New Roman"/>
        <family val="1"/>
        <charset val="204"/>
      </rPr>
      <t>(п.181</t>
    </r>
    <r>
      <rPr>
        <sz val="12"/>
        <rFont val="Times New Roman"/>
        <family val="1"/>
        <charset val="204"/>
      </rPr>
      <t>)</t>
    </r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</si>
  <si>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1 полугодие 2012 г.</t>
    </r>
  </si>
  <si>
    <r>
      <t xml:space="preserve">Платежи за 1 полугодие, </t>
    </r>
    <r>
      <rPr>
        <b/>
        <sz val="11"/>
        <rFont val="Times New Roman"/>
        <family val="1"/>
        <charset val="204"/>
      </rPr>
      <t>тыс.руб.</t>
    </r>
  </si>
  <si>
    <r>
      <t xml:space="preserve">Платежи за 2 полугодие, </t>
    </r>
    <r>
      <rPr>
        <b/>
        <sz val="11"/>
        <rFont val="Times New Roman"/>
        <family val="1"/>
        <charset val="204"/>
      </rPr>
      <t>тыс.руб.</t>
    </r>
  </si>
  <si>
    <r>
      <t xml:space="preserve"> Расчет по договорам оказания услуг по передаче электрической энергии  </t>
    </r>
    <r>
      <rPr>
        <b/>
        <sz val="12"/>
        <color indexed="10"/>
        <rFont val="Times New Roman"/>
        <family val="1"/>
        <charset val="204"/>
      </rPr>
      <t>на 2 полугодие 2012 г.</t>
    </r>
  </si>
  <si>
    <t>год</t>
  </si>
  <si>
    <t>если объемы увелич. - выбрать 2-х став.тариф с МРСК</t>
  </si>
  <si>
    <t xml:space="preserve">2011 год НВВ </t>
  </si>
  <si>
    <t xml:space="preserve">2012 год НВВ </t>
  </si>
  <si>
    <t>по 2-х став.</t>
  </si>
  <si>
    <t xml:space="preserve"> за объем 9 420,0</t>
  </si>
  <si>
    <t xml:space="preserve"> за объем 20 123,0</t>
  </si>
  <si>
    <t>тыс.кВтч</t>
  </si>
  <si>
    <t>отклон.</t>
  </si>
  <si>
    <t xml:space="preserve">В случае увеличения объема передачи эл.энергии в сети Энерго </t>
  </si>
  <si>
    <t>1. с Энерго выгоднее работать по одностав.тарифу</t>
  </si>
  <si>
    <t>2. с МРСК выгоднее работать по 2-х ставочн.тарифу</t>
  </si>
  <si>
    <t xml:space="preserve"> за объем 22 751,776</t>
  </si>
  <si>
    <t>Выручка ЦСКБ =</t>
  </si>
  <si>
    <t>платежи Энерго в адрес ЦСКБ Прогресс тыс.руб.</t>
  </si>
  <si>
    <t>платежи ЦСКБ Прогресс в адрес МРСК тыс.руб.</t>
  </si>
  <si>
    <t>часов в 1 полугодии</t>
  </si>
  <si>
    <t>часов во 2 полугодии</t>
  </si>
  <si>
    <r>
      <t xml:space="preserve">Платежи за 2012 год, </t>
    </r>
    <r>
      <rPr>
        <b/>
        <sz val="11"/>
        <rFont val="Times New Roman"/>
        <family val="1"/>
        <charset val="204"/>
      </rPr>
      <t>тыс.руб.</t>
    </r>
  </si>
  <si>
    <t>по 2- ставочному</t>
  </si>
  <si>
    <t xml:space="preserve">при работе с сетевыми по одностав.тарифу </t>
  </si>
  <si>
    <t xml:space="preserve"> за объем 33 419,04</t>
  </si>
  <si>
    <t>Расчёт коэффициента индексации</t>
  </si>
  <si>
    <t>2011 год утвержденный</t>
  </si>
  <si>
    <t>2012 год утвержденный</t>
  </si>
  <si>
    <t>2011 год                     факт.</t>
  </si>
  <si>
    <t>2012 г. факт.</t>
  </si>
  <si>
    <t>2014 год предложения по корректировке</t>
  </si>
  <si>
    <t>Инфляция</t>
  </si>
  <si>
    <r>
      <t xml:space="preserve">Индекс эффективности </t>
    </r>
    <r>
      <rPr>
        <sz val="11"/>
        <color indexed="10"/>
        <rFont val="Arial"/>
        <family val="2"/>
        <charset val="204"/>
      </rPr>
      <t xml:space="preserve">подконтрольных </t>
    </r>
    <r>
      <rPr>
        <sz val="11"/>
        <color indexed="8"/>
        <rFont val="Arial"/>
        <family val="2"/>
        <charset val="204"/>
      </rPr>
      <t>расходов</t>
    </r>
  </si>
  <si>
    <t>1.3</t>
  </si>
  <si>
    <t>Количество активов</t>
  </si>
  <si>
    <t>1.4</t>
  </si>
  <si>
    <t>Индекс изменения количества активов</t>
  </si>
  <si>
    <t>1.5</t>
  </si>
  <si>
    <t>Коэффициент эластичности затрат по росту активов</t>
  </si>
  <si>
    <t>1.6</t>
  </si>
  <si>
    <t>Итого коэффициент индексации</t>
  </si>
  <si>
    <t>1.7</t>
  </si>
  <si>
    <r>
      <t>Максимальный процент корректировки НВВ с учетом достижения установленного уровня надежности и качества услуг (П</t>
    </r>
    <r>
      <rPr>
        <vertAlign val="subscript"/>
        <sz val="14"/>
        <color indexed="8"/>
        <rFont val="Arial"/>
        <family val="2"/>
        <charset val="204"/>
      </rPr>
      <t>кор</t>
    </r>
    <r>
      <rPr>
        <sz val="11"/>
        <color indexed="8"/>
        <rFont val="Arial"/>
        <family val="2"/>
        <charset val="204"/>
      </rPr>
      <t>)</t>
    </r>
  </si>
  <si>
    <t>1.8</t>
  </si>
  <si>
    <r>
      <t>Плановый показатель средней продолжительности прекращений передачи электрической энергии (П</t>
    </r>
    <r>
      <rPr>
        <vertAlign val="subscript"/>
        <sz val="14"/>
        <color indexed="8"/>
        <rFont val="Arial"/>
        <family val="2"/>
        <charset val="204"/>
      </rPr>
      <t>п</t>
    </r>
    <r>
      <rPr>
        <sz val="11"/>
        <color indexed="8"/>
        <rFont val="Arial"/>
        <family val="2"/>
        <charset val="204"/>
      </rPr>
      <t>)</t>
    </r>
  </si>
  <si>
    <t>1.9</t>
  </si>
  <si>
    <t>Плановый показатель уровня качества оказываемых услуг ТСО (Птсо)</t>
  </si>
  <si>
    <t>2.0</t>
  </si>
  <si>
    <r>
      <t>Обобщенный показатель надежности и качества оказываемых услуг (К</t>
    </r>
    <r>
      <rPr>
        <vertAlign val="subscript"/>
        <sz val="14"/>
        <color indexed="8"/>
        <rFont val="Arial"/>
        <family val="2"/>
        <charset val="204"/>
      </rPr>
      <t>об</t>
    </r>
    <r>
      <rPr>
        <sz val="11"/>
        <color indexed="8"/>
        <rFont val="Arial"/>
        <family val="2"/>
        <charset val="204"/>
      </rPr>
      <t>)</t>
    </r>
  </si>
  <si>
    <t>Расчёт подконтрольных расходов</t>
  </si>
  <si>
    <t>2013 год утвержденный</t>
  </si>
  <si>
    <t>1..1.2.</t>
  </si>
  <si>
    <t>1.3.1.</t>
  </si>
  <si>
    <t>1.3.2.</t>
  </si>
  <si>
    <t>1.3.2.1.</t>
  </si>
  <si>
    <t>1.3.2.2.</t>
  </si>
  <si>
    <t>1.3.2.3.</t>
  </si>
  <si>
    <t>1.3.2.4.</t>
  </si>
  <si>
    <t>1.3.2.5.</t>
  </si>
  <si>
    <t>1.3.2.6.</t>
  </si>
  <si>
    <t>1.3.3.</t>
  </si>
  <si>
    <t>1.3.4.</t>
  </si>
  <si>
    <t>1.3.5.</t>
  </si>
  <si>
    <t>1.3.6.</t>
  </si>
  <si>
    <t>1.3.7.</t>
  </si>
  <si>
    <t>Другие прочие расходы</t>
  </si>
  <si>
    <t>1.4.3.</t>
  </si>
  <si>
    <t>ИТОГО подконтрольные расходы</t>
  </si>
  <si>
    <t>Расчёт неподконтрольных расходов</t>
  </si>
  <si>
    <t>2.5.1.</t>
  </si>
  <si>
    <t>2.5.2.</t>
  </si>
  <si>
    <t>2.5.3.</t>
  </si>
  <si>
    <t>Прибыль на капитальные вложения</t>
  </si>
  <si>
    <t>ИТОГО неподконтрольные расходы</t>
  </si>
  <si>
    <t>Корректировка НВВ на содержание с учетом достижения плановых показателей уровня надежности и качества оказываемых услуг</t>
  </si>
  <si>
    <r>
      <t xml:space="preserve">Корректировка НВВ на содержание с учетом достижения плановых показателей уровня надежности и качества оказываемых услуг (НВВ </t>
    </r>
    <r>
      <rPr>
        <vertAlign val="superscript"/>
        <sz val="14"/>
        <color indexed="10"/>
        <rFont val="Arial Cyr"/>
        <charset val="204"/>
      </rPr>
      <t>сод.</t>
    </r>
    <r>
      <rPr>
        <vertAlign val="subscript"/>
        <sz val="14"/>
        <color indexed="10"/>
        <rFont val="Arial Cyr"/>
        <charset val="204"/>
      </rPr>
      <t xml:space="preserve">i-2 </t>
    </r>
    <r>
      <rPr>
        <sz val="11"/>
        <color indexed="10"/>
        <rFont val="Arial Cyr"/>
        <charset val="204"/>
      </rPr>
      <t>х К</t>
    </r>
    <r>
      <rPr>
        <vertAlign val="subscript"/>
        <sz val="14"/>
        <color indexed="10"/>
        <rFont val="Arial Cyr"/>
        <charset val="204"/>
      </rPr>
      <t xml:space="preserve">об </t>
    </r>
    <r>
      <rPr>
        <sz val="11"/>
        <color indexed="10"/>
        <rFont val="Arial Cyr"/>
        <charset val="204"/>
      </rPr>
      <t>х П</t>
    </r>
    <r>
      <rPr>
        <vertAlign val="subscript"/>
        <sz val="11"/>
        <color indexed="10"/>
        <rFont val="Arial Cyr"/>
        <charset val="204"/>
      </rPr>
      <t>кор</t>
    </r>
    <r>
      <rPr>
        <sz val="11"/>
        <color indexed="10"/>
        <rFont val="Arial Cyr"/>
        <charset val="204"/>
      </rPr>
      <t>)</t>
    </r>
  </si>
  <si>
    <t>ИТОГО НВВ на содержание сетей</t>
  </si>
  <si>
    <r>
      <t xml:space="preserve">НВВ сетевой организации ВСЕГО </t>
    </r>
    <r>
      <rPr>
        <sz val="11"/>
        <rFont val="Arial"/>
        <family val="2"/>
        <charset val="204"/>
      </rPr>
      <t xml:space="preserve">(без учета расходов на оплату услуг территориальных сетевых организаций, расходов на оплату потерь электроэнергии) </t>
    </r>
  </si>
  <si>
    <r>
      <t>по договорам 2012 г.</t>
    </r>
    <r>
      <rPr>
        <b/>
        <sz val="10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(Самараэнерго - одноставочный)</t>
    </r>
  </si>
  <si>
    <t>1 полугодие 2013 г.</t>
  </si>
  <si>
    <t>2 полугодие 2013 г.</t>
  </si>
  <si>
    <t xml:space="preserve">Предложения по корректировке необходимой валовой выручки ФГУП «ГНПРКЦ «ЦСКБ-Прогресс» на 2014 г. </t>
  </si>
  <si>
    <t>2014 год утвержденный в 2011г.</t>
  </si>
  <si>
    <t>Предложения организации 2012 год</t>
  </si>
  <si>
    <t>2012 год предложения организации</t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</si>
  <si>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ФГУП «ГНПРКЦ «ЦСКБ-Прогресс» за 2012 г.</t>
  </si>
  <si>
    <t xml:space="preserve"> 2012 год</t>
  </si>
  <si>
    <t>16.05.2012</t>
  </si>
  <si>
    <t>№ КЭТ 0000393</t>
  </si>
  <si>
    <t>№ КЭТ 0000487</t>
  </si>
  <si>
    <t>13.06.2012</t>
  </si>
  <si>
    <t>19.06.2012</t>
  </si>
  <si>
    <t>№ КЭТ 0000504</t>
  </si>
  <si>
    <t>20.07.2012</t>
  </si>
  <si>
    <t>№ КЭТ 0000611</t>
  </si>
  <si>
    <t>30.08.2012</t>
  </si>
  <si>
    <t>№ КЭТ 0000726</t>
  </si>
  <si>
    <t>ООО "Волгаэлектросбыт"</t>
  </si>
  <si>
    <t>02.05.2012</t>
  </si>
  <si>
    <t>№ 2.17МА1951/2</t>
  </si>
  <si>
    <t>23.04.2012</t>
  </si>
  <si>
    <t>№ 2.17МА1951.1-1/2</t>
  </si>
  <si>
    <t>27.06.2012</t>
  </si>
  <si>
    <t>19.07.2012</t>
  </si>
  <si>
    <t>№ 21211</t>
  </si>
  <si>
    <t>28.08.2012</t>
  </si>
  <si>
    <t>№ 25096</t>
  </si>
  <si>
    <t>18.04.2012</t>
  </si>
  <si>
    <t>№ 806</t>
  </si>
  <si>
    <t>14.06.2012</t>
  </si>
  <si>
    <t>№ 17262</t>
  </si>
  <si>
    <t>№ 807</t>
  </si>
  <si>
    <t>27.07.2012</t>
  </si>
  <si>
    <t>№ 22156</t>
  </si>
  <si>
    <t xml:space="preserve">476512,82 /1,18 /1000 х 1,071= </t>
  </si>
  <si>
    <r>
      <t xml:space="preserve">На </t>
    </r>
    <r>
      <rPr>
        <b/>
        <sz val="12"/>
        <rFont val="Times New Roman"/>
        <family val="1"/>
        <charset val="204"/>
      </rPr>
      <t xml:space="preserve">2014 г. </t>
    </r>
    <r>
      <rPr>
        <sz val="12"/>
        <rFont val="Times New Roman"/>
        <family val="1"/>
        <charset val="204"/>
      </rPr>
      <t>затраты по статье "вспомогательные материалы"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2013г. </t>
    </r>
    <r>
      <rPr>
        <sz val="12"/>
        <rFont val="Times New Roman"/>
        <family val="1"/>
        <charset val="204"/>
      </rPr>
      <t>= 1,054</t>
    </r>
  </si>
  <si>
    <r>
      <t>Затраты на электротехнические материалы в расчет тарифов</t>
    </r>
    <r>
      <rPr>
        <b/>
        <sz val="12"/>
        <rFont val="Times New Roman"/>
        <family val="1"/>
        <charset val="204"/>
      </rPr>
      <t xml:space="preserve"> на 2013 г.</t>
    </r>
    <r>
      <rPr>
        <sz val="12"/>
        <rFont val="Times New Roman"/>
        <family val="1"/>
        <charset val="204"/>
      </rPr>
      <t xml:space="preserve"> взяты с К</t>
    </r>
    <r>
      <rPr>
        <vertAlign val="subscript"/>
        <sz val="12"/>
        <rFont val="Times New Roman"/>
        <family val="1"/>
        <charset val="204"/>
      </rPr>
      <t xml:space="preserve">инд.к 2012г. </t>
    </r>
    <r>
      <rPr>
        <sz val="12"/>
        <rFont val="Times New Roman"/>
        <family val="1"/>
        <charset val="204"/>
      </rPr>
      <t>=1,071  и составят:</t>
    </r>
  </si>
  <si>
    <t>и составят = 432,5 х 1,054=</t>
  </si>
  <si>
    <t>Определение места повреждения кабеля и устранение повреждения от РУ 30 до КТП ООО "Исток" и от РУ 71 до ГПП220/10</t>
  </si>
  <si>
    <t xml:space="preserve">    Всего 2012 г.</t>
  </si>
  <si>
    <t>Плановая профилактическая проверка электротехнических цепей, релейной защиты измерения, учета и автоматики ЗРУ -10кВ на ГПП</t>
  </si>
  <si>
    <t>Договр №5  от 16.03.2012г. ООО "Строй-Гарант", справка о стоимости и акт вып.работ, платежные поручения №15568 от 25.05.2012 и № 33585 от 29.112012г.</t>
  </si>
  <si>
    <t>2012 г.затраты на потребителя d = 14,74%</t>
  </si>
  <si>
    <t>тыс.квтч.</t>
  </si>
  <si>
    <t>Доля на потребителя -</t>
  </si>
  <si>
    <t>Отпуск в сеть ФГУП «ГНПРКЦ «ЦСКБ-Прогресс» эл.эн. на потребителя -</t>
  </si>
  <si>
    <t>Собственное потребление эл.эн. ФГУП «ГНПРКЦ «ЦСКБ-Прогресс»</t>
  </si>
  <si>
    <t>На передачу потребителям (ЗАО "ССК") :</t>
  </si>
  <si>
    <r>
      <t>Затраты на электротехнические материалы по участку ПСХ в расчет тарифов</t>
    </r>
    <r>
      <rPr>
        <b/>
        <sz val="12"/>
        <rFont val="Times New Roman"/>
        <family val="1"/>
        <charset val="204"/>
      </rPr>
      <t xml:space="preserve"> на 2013 г.</t>
    </r>
    <r>
      <rPr>
        <sz val="12"/>
        <rFont val="Times New Roman"/>
        <family val="1"/>
        <charset val="204"/>
      </rPr>
      <t xml:space="preserve"> взяты </t>
    </r>
  </si>
  <si>
    <r>
      <t>Затраты на электротехнические материалы в расчет тарифа</t>
    </r>
    <r>
      <rPr>
        <b/>
        <sz val="12"/>
        <rFont val="Times New Roman"/>
        <family val="1"/>
        <charset val="204"/>
      </rPr>
      <t xml:space="preserve"> на 2013 г.</t>
    </r>
    <r>
      <rPr>
        <sz val="12"/>
        <rFont val="Times New Roman"/>
        <family val="1"/>
        <charset val="204"/>
      </rPr>
      <t xml:space="preserve"> по участку ПСХ на передачу сторонним </t>
    </r>
  </si>
  <si>
    <t>с Кинд.= 1,071 пропорционально полезному отпуску:</t>
  </si>
  <si>
    <t>432350,04 /1,18 /1000 х 1,071 Х 19,41%=</t>
  </si>
  <si>
    <r>
      <rPr>
        <b/>
        <sz val="12"/>
        <color indexed="9"/>
        <rFont val="Times New Roman"/>
        <family val="1"/>
        <charset val="204"/>
      </rPr>
      <t>2013 г.</t>
    </r>
    <r>
      <rPr>
        <sz val="12"/>
        <color indexed="9"/>
        <rFont val="Times New Roman"/>
        <family val="1"/>
        <charset val="204"/>
      </rPr>
      <t xml:space="preserve"> = 432,5 тыс.руб. + 76,2 тыс.руб. =</t>
    </r>
  </si>
  <si>
    <r>
      <rPr>
        <b/>
        <sz val="12"/>
        <color indexed="9"/>
        <rFont val="Times New Roman"/>
        <family val="1"/>
        <charset val="204"/>
      </rPr>
      <t>2014 г.</t>
    </r>
    <r>
      <rPr>
        <sz val="12"/>
        <color indexed="9"/>
        <rFont val="Times New Roman"/>
        <family val="1"/>
        <charset val="204"/>
      </rPr>
      <t xml:space="preserve"> = 455,9 тыс.руб. + 80,3 тыс.руб. =</t>
    </r>
  </si>
  <si>
    <t>Диагностика кабельной линии ГПП 110кВ ССК - КРУ 22 ФГУП «ГНПРКЦ «ЦСКБ-Прогресс»</t>
  </si>
  <si>
    <t>Договор подряда №43/2012 от 01.08.2012 ООО "Энергостройсервис", справка о стоимости и акт вып.работ, платежное поручение № 28968 от 08.10.12, схема  электроснабжения на потребителя</t>
  </si>
  <si>
    <t>Периодические испытания трансформаторного масла силовых трансформаторов ТРДЦН-63000/220кВ Т-1 и Т-2 на ГПП</t>
  </si>
  <si>
    <t>Договор подряда № 38 от 20.11.2012 ООО "СЭРМН", акт вып.раб., справка о стоимости работ, платежное поручение № 6434 от 06.03.2013г.</t>
  </si>
  <si>
    <t>Договор №8 от 18.09.2012 г. ООО "Газпром трансгаз Самара", платежное поручение № 1723 от 21.01.2013</t>
  </si>
  <si>
    <r>
      <t xml:space="preserve">Договор № 6 от 20.04.2012г. ОАО "Самараэнерго", акт вып.раб.от 15.02.2013г., </t>
    </r>
    <r>
      <rPr>
        <b/>
        <i/>
        <sz val="10"/>
        <rFont val="Times New Roman"/>
        <family val="1"/>
        <charset val="204"/>
      </rPr>
      <t>сумма по договору всего</t>
    </r>
  </si>
  <si>
    <r>
      <rPr>
        <b/>
        <sz val="10"/>
        <rFont val="Times New Roman"/>
        <family val="1"/>
        <charset val="204"/>
      </rPr>
      <t>на электроснабжение</t>
    </r>
    <r>
      <rPr>
        <sz val="10"/>
        <rFont val="Times New Roman"/>
        <family val="1"/>
        <charset val="204"/>
      </rPr>
      <t xml:space="preserve"> в доле 33,3% (т.к. 3 вида деятельности: электроснабжение, тепло- и водоснабжение</t>
    </r>
  </si>
  <si>
    <t>Договор с ООО "ЦДО "Промэнергобезопасность", реестр счетов-фактур с 01.01.2012 по 31.12.2012, платежные поручения</t>
  </si>
  <si>
    <r>
      <t xml:space="preserve">Расходы на стандарты раскрытия информации организации, осуществляющей регулируемые виды деятельности </t>
    </r>
    <r>
      <rPr>
        <sz val="11"/>
        <rFont val="Times New Roman"/>
        <family val="1"/>
        <charset val="204"/>
      </rPr>
      <t>(сайт, публикация в газете Волжская коммуна  бухгалтерской отчетности)</t>
    </r>
  </si>
  <si>
    <t>Постановление правительства РФ от 30.12.2009г. № 24</t>
  </si>
  <si>
    <t>"неучтенных в предыдущем периоде регулирования,</t>
  </si>
  <si>
    <t>подлежащих включению в НВВ на 2014 г.</t>
  </si>
  <si>
    <t>Утверждено на 2012г.</t>
  </si>
  <si>
    <t>Расчет экономически обоснованных затрат в 2012 г.</t>
  </si>
  <si>
    <t>по статье "материалы" и "услуги сторонних организаций по ремонту, техническому обслуживанию оборудования" участка передачи эл.энергии ФГУП «ГНПРКЦ «ЦСКБ-Прогресс»,</t>
  </si>
  <si>
    <t>Факт 2012 г.</t>
  </si>
  <si>
    <t>предварительно на сайте</t>
  </si>
  <si>
    <r>
      <t>Страховые взносы в ПФ РФ, ФСС РФ, ФФ  ОМС и ТФ ОМС и ОС_НС (2012г.-</t>
    </r>
    <r>
      <rPr>
        <b/>
        <sz val="11"/>
        <color indexed="10"/>
        <rFont val="Arial"/>
        <family val="2"/>
        <charset val="204"/>
      </rPr>
      <t xml:space="preserve"> 1,7%, 2013 г.-1,65%</t>
    </r>
    <r>
      <rPr>
        <b/>
        <sz val="11"/>
        <rFont val="Arial"/>
        <family val="2"/>
        <charset val="204"/>
      </rPr>
      <t>)</t>
    </r>
  </si>
  <si>
    <r>
      <t>Ремонт и обслуживание злектрических сетей</t>
    </r>
    <r>
      <rPr>
        <sz val="10"/>
        <color indexed="10"/>
        <rFont val="Times New Roman"/>
        <family val="1"/>
        <charset val="204"/>
      </rPr>
      <t xml:space="preserve"> (90,0тыс.руб.)</t>
    </r>
  </si>
  <si>
    <t xml:space="preserve">Балансовая стоимость на 01.01.2013г.  </t>
  </si>
  <si>
    <t>Амортиза- ция за январь 2013г.</t>
  </si>
  <si>
    <t>Амортиза- ция за 2013год, руб.</t>
  </si>
  <si>
    <t>Амортизация, тыс.руб.</t>
  </si>
  <si>
    <t>Доля</t>
  </si>
  <si>
    <t>Отклонение вкл.в период регулирования в ст."недополученный по независящим  причинам доход"</t>
  </si>
  <si>
    <t>Работы и услуги производственного характера                    (в т.ч. услуги сторонних организаций по содержанию сетей и распределительных устройств)</t>
  </si>
  <si>
    <t>в т.ч. ремонт и тех.обслуживание по предписанию Ростехнадзора 2012г.</t>
  </si>
  <si>
    <r>
      <t xml:space="preserve">На </t>
    </r>
    <r>
      <rPr>
        <b/>
        <sz val="12"/>
        <rFont val="Times New Roman"/>
        <family val="1"/>
        <charset val="204"/>
      </rPr>
      <t xml:space="preserve">2014 г. </t>
    </r>
    <r>
      <rPr>
        <sz val="12"/>
        <rFont val="Times New Roman"/>
        <family val="1"/>
        <charset val="204"/>
      </rPr>
      <t xml:space="preserve">затраты по статье "вспомогательные материалы" по участку ПСХ проиндексированы </t>
    </r>
  </si>
  <si>
    <t>на Кинд.к 2013г. = 1,054 и составят =76,2 х 1,054 =</t>
  </si>
  <si>
    <t>Форма  № 5</t>
  </si>
  <si>
    <t>к приложению № 1 приказа Министерства энергетики и жилищно-коммунального хозяйства Самарской области от "___" _________2011 года № ___</t>
  </si>
  <si>
    <t>ФГУП ГНПРКЦ «ЦСКБ-Прогресс»</t>
  </si>
  <si>
    <t>Сроки предоставления: ежеквартальная - до 30 апреля, 30 июля и 30 октября. Годовая - до 1 апреля.</t>
  </si>
  <si>
    <t>форма заполняется нарастающим итогом</t>
  </si>
  <si>
    <t>Фактические показатели</t>
  </si>
  <si>
    <t>7 = 6/4</t>
  </si>
  <si>
    <t>1.1.2.1.</t>
  </si>
  <si>
    <t>численность персонала</t>
  </si>
  <si>
    <t>1.1.2.2.</t>
  </si>
  <si>
    <t>среднемесячная  заработная плата</t>
  </si>
  <si>
    <t>Налоги, всего, в том числе:</t>
  </si>
  <si>
    <t>Затраты на компенсацию потерь электрической энергии</t>
  </si>
  <si>
    <t>Платежи  компании  в адрес смежных сетевых организаций:</t>
  </si>
  <si>
    <t>…..</t>
  </si>
  <si>
    <t xml:space="preserve">Платежи в компанию от смежных организаций </t>
  </si>
  <si>
    <t>М.п. городского округа Самара "Самарский метрополитен"</t>
  </si>
  <si>
    <t>….</t>
  </si>
  <si>
    <t>Платежи в сетевую организацию по котловым тарифам</t>
  </si>
  <si>
    <t>Количество условных единиц электрооборудования, необходимых для осуществления регулируемой деятельности.</t>
  </si>
  <si>
    <t>Протяженность электрических сетей</t>
  </si>
  <si>
    <t>км.</t>
  </si>
  <si>
    <t>7.1.</t>
  </si>
  <si>
    <t>в том числе нуждающихся в замене</t>
  </si>
  <si>
    <t>Количество аварий и повреждений на сетях</t>
  </si>
  <si>
    <t>ед.</t>
  </si>
  <si>
    <t>Количество аварий и повреждений на сооружениях</t>
  </si>
  <si>
    <t>Износ сетей</t>
  </si>
  <si>
    <t>Износ оборудования</t>
  </si>
  <si>
    <t>тыс. кВт*ч</t>
  </si>
  <si>
    <t>Расход электроэнергии на хозяйственные нужды, всего</t>
  </si>
  <si>
    <t>Потери электрической энергии, всего</t>
  </si>
  <si>
    <t>отнесенные на собственное производство (потребление)</t>
  </si>
  <si>
    <t>14.2.</t>
  </si>
  <si>
    <t>технологические потери</t>
  </si>
  <si>
    <t>Полезный отпуск конечным потербителям</t>
  </si>
  <si>
    <t>Руководитель организации           _______________________</t>
  </si>
  <si>
    <t>__________________</t>
  </si>
  <si>
    <t xml:space="preserve">                   (подпись)</t>
  </si>
  <si>
    <t>(расшифровка подписи)</t>
  </si>
  <si>
    <t>Должностное лицо, ответственное за составление формы</t>
  </si>
  <si>
    <t>____________________________________________________</t>
  </si>
  <si>
    <t>______________</t>
  </si>
  <si>
    <t>(должность)</t>
  </si>
  <si>
    <t>(подпись)</t>
  </si>
  <si>
    <t>"______" _________________ 20___ год</t>
  </si>
  <si>
    <t xml:space="preserve">             (дата составления документа)</t>
  </si>
  <si>
    <t>Выпадающие доходы/экономия средств (вспомогательные материалы для выполнения ремонтов собственными силами)</t>
  </si>
  <si>
    <t>Отчет о доходах и расходах территориальной сетевой организации, регулирование тарифов на услуги которой осуществляется на основе долгосрочных параметров регулирования деятельности за  2012 год</t>
  </si>
  <si>
    <r>
      <t>Процент превышения</t>
    </r>
    <r>
      <rPr>
        <sz val="10"/>
        <rFont val="Times New Roman"/>
        <family val="1"/>
        <charset val="204"/>
      </rPr>
      <t xml:space="preserve"> (2012факт. без учета собственного потребления)/ (утверждено на 2012г.)</t>
    </r>
  </si>
  <si>
    <r>
      <t xml:space="preserve">НВВ сетевой организации ВСЕГО </t>
    </r>
    <r>
      <rPr>
        <sz val="10"/>
        <rFont val="Times New Roman"/>
        <family val="1"/>
        <charset val="204"/>
      </rPr>
      <t xml:space="preserve">(без учета расходов на оплату услуг территориальных сетевых организаций, расходов на оплату потерь электроэнергии) </t>
    </r>
  </si>
  <si>
    <t>с учетом собственного потребления</t>
  </si>
  <si>
    <t>без учета собственного потребления</t>
  </si>
  <si>
    <t>Выпадающие доходы (экономия средств) за исключением выпадающих доходов, учтенных в соответствии с п.87 Основ ценообразования</t>
  </si>
  <si>
    <t xml:space="preserve">Выпадающие доходы по п.87 Основ ценообразования </t>
  </si>
  <si>
    <t>1.5.</t>
  </si>
  <si>
    <t>2016 год</t>
  </si>
  <si>
    <t>2019 год</t>
  </si>
  <si>
    <t>2013г.</t>
  </si>
  <si>
    <t xml:space="preserve">1. ПОЛЕЗНЫЙ ОТПУСК КОНЕЧНЫМ ПОТРЕБИТЕЛЯМ * </t>
  </si>
  <si>
    <t>было согласовано</t>
  </si>
  <si>
    <t>1. ПРОЧИЕ ПОТРЕБИТЕЛИ</t>
  </si>
  <si>
    <t>прочие</t>
  </si>
  <si>
    <t>1.1. Монопотребитель (Наименование организации)</t>
  </si>
  <si>
    <t>2.  НАСЕЛЕНИЕ</t>
  </si>
  <si>
    <t>насел.</t>
  </si>
  <si>
    <t>в пределах социальной нормы</t>
  </si>
  <si>
    <t>сверх социальной нормы</t>
  </si>
  <si>
    <t>2.1.  Население, проживающее в городских населенных пунктах в домах, оборудованных в установленном порядке стационарными электроплитами и (или) электроотопительными установками и приравненные к нему категории потребителей</t>
  </si>
  <si>
    <t>2.1.1. в пределах социальной нормы</t>
  </si>
  <si>
    <t>2.1.2. сверх социальной нормы</t>
  </si>
  <si>
    <t>2.2.  Население, проживающее в сельских населенных пунктах и приравненные к нему категории потребителей</t>
  </si>
  <si>
    <t>2.2.1. в пределах социальной нормы</t>
  </si>
  <si>
    <t>2.2.2. сверх социальной нормы</t>
  </si>
  <si>
    <t>2.3.  Население и приравненные к нему категории потребителей за исключением указанных в пунктах 2.1. и 2.2.</t>
  </si>
  <si>
    <t>2.3.1 в пределах социальной нормы</t>
  </si>
  <si>
    <t>2.3.2 сверх социальной нормы</t>
  </si>
  <si>
    <t xml:space="preserve">2. СОБСТВЕННОЕ ПОТРЕБЛЕНИЕ (в целом по юридическому лицу) ** </t>
  </si>
  <si>
    <t>№ 20-2491к от 01.01.2013 - это договор покупки потерь эл.эн.на потребителя</t>
  </si>
  <si>
    <t>??? уровень СН1</t>
  </si>
  <si>
    <t>Примечание: * -  действующий договор оказания услуг по передаче электрической энергии № 3 от 01.01.2011г.;</t>
  </si>
  <si>
    <t xml:space="preserve">                        ** -   действующие договора энергоснабжения № 20-1001э от 01.01.2013г. , № 20-1001к от 01.01.2013г..</t>
  </si>
  <si>
    <t>Руководитель энергосбытовой организации___________</t>
  </si>
  <si>
    <t>_______________________________________________</t>
  </si>
  <si>
    <t>(ФИО, подпись)</t>
  </si>
  <si>
    <t>Дата согласования______________________</t>
  </si>
  <si>
    <t>по актам г.о.дог.2013г. ССК СН2 будет в 2014г.</t>
  </si>
  <si>
    <t>1 п-е</t>
  </si>
  <si>
    <t>2 п-е</t>
  </si>
  <si>
    <t>Наименование показателя</t>
  </si>
  <si>
    <t xml:space="preserve">1 ПОЛУГОДИЕ </t>
  </si>
  <si>
    <t xml:space="preserve">2 ПОЛУГОДИЕ </t>
  </si>
  <si>
    <t>Присоеди- ненная мощность, МВА</t>
  </si>
  <si>
    <t>добавить</t>
  </si>
  <si>
    <t>ОАО "ФСК ЕЭС"</t>
  </si>
  <si>
    <t>1.2.3</t>
  </si>
  <si>
    <t>МРСК от ТП 2101, конечный потребитель ООО "Атлант", от ТП 1601 (ССК)</t>
  </si>
  <si>
    <t>ЗАО "СГЭС"</t>
  </si>
  <si>
    <t xml:space="preserve">МП г.о. Самара “Самарский метрополитен” </t>
  </si>
  <si>
    <t>по заявке ЭНС 2014г.</t>
  </si>
  <si>
    <t>технологический расход электроэнергии на транспортировку</t>
  </si>
  <si>
    <t>на содержание сетей</t>
  </si>
  <si>
    <t>Сумма платы за услуги</t>
  </si>
  <si>
    <t>плановый объем отпуска  220 кВ и ниже</t>
  </si>
  <si>
    <t>норматив потерь</t>
  </si>
  <si>
    <t>объем потерь</t>
  </si>
  <si>
    <t>тариф на оплату</t>
  </si>
  <si>
    <t>заявленная мощность</t>
  </si>
  <si>
    <t>МВтч</t>
  </si>
  <si>
    <t>руб./Мвтч</t>
  </si>
  <si>
    <t>руб./Мвт</t>
  </si>
  <si>
    <t xml:space="preserve">Базовый период         </t>
  </si>
  <si>
    <t>за услуги по организации функционирования и развитию ЕЭС России,</t>
  </si>
  <si>
    <t>1 полугодие 2015 г.</t>
  </si>
  <si>
    <t>2 полугодие 2015 г.</t>
  </si>
  <si>
    <t>2015г.</t>
  </si>
  <si>
    <t>по ф.5 за 2013 г.</t>
  </si>
  <si>
    <t xml:space="preserve">Проведение энергоаудита энергохозяйства ФГУП «ГНПРКЦ «ЦСКБ-Прогресс»,выдача энергетического паспорта предприятия, разработка программы в области энергосбережения и повышения энергетической эффективности </t>
  </si>
  <si>
    <t>Ремонт и обслуживание злектрических сетей (90,0тыс.руб.)</t>
  </si>
  <si>
    <t>Расходы на стандарты раскрытия информации организации, осуществляющей регулируемые виды деятельности (сайт, публикация в газете Волжская коммуна  бухгалтерской отчетности)</t>
  </si>
  <si>
    <t xml:space="preserve">Измерение показателей качества эл.энергии для сертификации </t>
  </si>
  <si>
    <t>ООО "УПЦ Самарагосэнерго- надзора"</t>
  </si>
  <si>
    <t xml:space="preserve">Проверка пакета документации, предъявляемого для сертификации качества эл.энергии в сертификационный орган </t>
  </si>
  <si>
    <t>Проведение контрольных испытаний качества электрической энергии</t>
  </si>
  <si>
    <t>Проведение обязательной сертификации электрической энергии, отпускаемой потребителям от центров питания на соответствие требованиям ГОСТ Р-13109-97</t>
  </si>
  <si>
    <t>ООО ""Региональный орган оценки соответствия"</t>
  </si>
  <si>
    <t>2014 г.затраты на потребителя d = 14,74%</t>
  </si>
  <si>
    <t>по факту 2012 г.</t>
  </si>
  <si>
    <t>2014г.-689,2т.р.</t>
  </si>
  <si>
    <t>2015г.-726,4т.р.</t>
  </si>
  <si>
    <t>Расчет доли на потребителя по факту 2012г.</t>
  </si>
  <si>
    <t>Цех 2426 (пром.площадка)</t>
  </si>
  <si>
    <r>
      <t xml:space="preserve">Сумма,                               </t>
    </r>
    <r>
      <rPr>
        <b/>
        <sz val="10"/>
        <rFont val="Times New Roman"/>
        <family val="1"/>
        <charset val="204"/>
      </rPr>
      <t xml:space="preserve">руб.  </t>
    </r>
    <r>
      <rPr>
        <sz val="12"/>
        <rFont val="Times New Roman"/>
        <family val="1"/>
        <charset val="204"/>
      </rPr>
      <t xml:space="preserve">       </t>
    </r>
    <r>
      <rPr>
        <sz val="10"/>
        <rFont val="Times New Roman"/>
        <family val="1"/>
        <charset val="204"/>
      </rPr>
      <t xml:space="preserve">                                        с НДС</t>
    </r>
  </si>
  <si>
    <t>Техническое обслуживание, капитальный и текущий ремонт обрудования участка электроснабжения организации выполняется хоз.способом.</t>
  </si>
  <si>
    <t>капитального ремонта оборудования  (ТП, КРУ, кабель), участвующего в передаче электрической энергии потребителям.</t>
  </si>
  <si>
    <t>Дефектные ведомости и акты вып.работ к сметам с расшифровкой номеклатуры и стоимости израсходованных материалов на ремонт прилагаются.</t>
  </si>
  <si>
    <t xml:space="preserve"> 2013 год</t>
  </si>
  <si>
    <t>ООО "Региональная кабельная компания"</t>
  </si>
  <si>
    <t>№ СРК 0000017</t>
  </si>
  <si>
    <t>Номенклатура</t>
  </si>
  <si>
    <t>Кабель, провод, наконечник медный</t>
  </si>
  <si>
    <t>№ КРК 0000082</t>
  </si>
  <si>
    <t>Муфта соединительная</t>
  </si>
  <si>
    <t>№ СРК 0000050</t>
  </si>
  <si>
    <t>Кабель</t>
  </si>
  <si>
    <t>№ КРК 0000112</t>
  </si>
  <si>
    <t>Провод</t>
  </si>
  <si>
    <t>№ 2.2-1.35493/2</t>
  </si>
  <si>
    <t xml:space="preserve">Трансформатор тока </t>
  </si>
  <si>
    <t>ООО "Научно Производственное Предприятие "ПромТЭК"</t>
  </si>
  <si>
    <t>№ 88</t>
  </si>
  <si>
    <t>№ 9710</t>
  </si>
  <si>
    <t>№ 23851</t>
  </si>
  <si>
    <t>№ 27495</t>
  </si>
  <si>
    <t>№ 30268</t>
  </si>
  <si>
    <t>№ 37616</t>
  </si>
  <si>
    <t xml:space="preserve">В материалах дела вх.№ 565/Р от 30.04.2014г. на стр.395-413 представлены технические сметы за 2013 г.на работы по выполнению </t>
  </si>
  <si>
    <t>2014г. от бюджетного отдела</t>
  </si>
  <si>
    <t>с июля 2015 г.</t>
  </si>
  <si>
    <t xml:space="preserve">Счета на оплату от 20.05.2013 г., от 24.06.2013 г.,от 15.11.2013 г. </t>
  </si>
  <si>
    <t>№ 26345</t>
  </si>
  <si>
    <t>№ 26290</t>
  </si>
  <si>
    <t>№ 26291</t>
  </si>
  <si>
    <t xml:space="preserve">Муфта </t>
  </si>
  <si>
    <t>Муфты концевые</t>
  </si>
  <si>
    <t>№ 25631</t>
  </si>
  <si>
    <r>
      <t xml:space="preserve">Затраты на электротехнические материалы </t>
    </r>
    <r>
      <rPr>
        <b/>
        <sz val="12"/>
        <rFont val="Times New Roman"/>
        <family val="1"/>
        <charset val="204"/>
      </rPr>
      <t>на 2014 г.</t>
    </r>
    <r>
      <rPr>
        <sz val="12"/>
        <rFont val="Times New Roman"/>
        <family val="1"/>
        <charset val="204"/>
      </rPr>
      <t xml:space="preserve"> взяты на уровне факта 2013г. и составят:</t>
    </r>
  </si>
  <si>
    <t>тариф был пересмотрен</t>
  </si>
  <si>
    <t>протокол разногласий 5,05 МВт</t>
  </si>
  <si>
    <t>17,604 МВт</t>
  </si>
  <si>
    <t>в дог.ФСК</t>
  </si>
  <si>
    <t>ЗАО "Волгаэнергосервис"</t>
  </si>
  <si>
    <t>Договор  №01-2014АЧР на выполнение подрядных работ</t>
  </si>
  <si>
    <t>Ремонт изоляторов на линии "Зубчаниновская-2" ОРУ 220/10/10</t>
  </si>
  <si>
    <t>ООО СК "Спецмонтажавтоматика"</t>
  </si>
  <si>
    <t xml:space="preserve">Услуги сторонних организаций по ремонту </t>
  </si>
  <si>
    <r>
      <t>Договор подряда №016 от 25.10.2014</t>
    </r>
    <r>
      <rPr>
        <b/>
        <i/>
        <sz val="10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(согласно п.7 Предписания № 10-412-09-13-413-В от 27.09.2013 г. Средне-Поволжского управления Ростехнадзора - стр.391-393 дела вх.№ 565/Р от 30.04.2014г.)</t>
    </r>
  </si>
  <si>
    <t>в т.ч. Итого ремонт п.1</t>
  </si>
  <si>
    <t>2 п-е 2014г. был</t>
  </si>
  <si>
    <t>Договора, акты выполненных работ, платежные поручения представлены в деле по расчету тарифов на 2014 г. вх.№574/Р стр.238-280.</t>
  </si>
  <si>
    <t>Ремонт вакуумного выключателя на КРУ-2А</t>
  </si>
  <si>
    <t>ООО "Таврида Электрик Самара"</t>
  </si>
  <si>
    <t>Договор подряда №029 от 16.12.2013 г.</t>
  </si>
  <si>
    <t xml:space="preserve">Реестр договоров, подтверждающих затраты по статье "Работы и услуги производственного характера" </t>
  </si>
  <si>
    <t>Услуги сторонних организаций по техническому обслуживанию</t>
  </si>
  <si>
    <t>Проверка устройств автоматики частотной разгрузки (АЧР) на ПС 220/10/10кВ "Зубчаниновская"</t>
  </si>
  <si>
    <t>ОАО "РКЦ "Прогресс"</t>
  </si>
  <si>
    <t xml:space="preserve"> по участку электроснабжения  ФГУП «ГНПРКЦ «ЦСКБ-Прогресс»  за 2012г. </t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</si>
  <si>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ФГУП «ГНПРКЦ «ЦСКБ-Прогресс» за 2013 г.</t>
  </si>
  <si>
    <t>на передачу электрической энергии сторонним потребителям ФГУП «ГНПРКЦ «ЦСКБ-Прогресс» в 2013г.</t>
  </si>
  <si>
    <t>СК "Спецмонтажавтоматика"</t>
  </si>
  <si>
    <t>Монтаж и пусконаладка электрооборудования КРУ-22</t>
  </si>
  <si>
    <t xml:space="preserve">2013 г.затраты на потребителя                                        </t>
  </si>
  <si>
    <t>Договор, РС №853</t>
  </si>
  <si>
    <t>Ремонт изоляторов ПС-70 на ОРУ-220/10/10</t>
  </si>
  <si>
    <t>ООО "Энергостройсервис"</t>
  </si>
  <si>
    <t>Договор №26/2013 от 11.07.ю2013, РС№346</t>
  </si>
  <si>
    <t>ООО "Энергогазстрой"</t>
  </si>
  <si>
    <t>Договор №02/ИГИ-13 от 07.08.2013</t>
  </si>
  <si>
    <t>Проверка устройств автоматики частотной разгрузки (АЧР) на ПС 220/10/10</t>
  </si>
  <si>
    <t>Договор № 01-2013 от 26.07.2013, ЛС-950</t>
  </si>
  <si>
    <t>Капитальный ремонт редуктора РПН РС-3 силового трансформатора ТРДЦН-63000/220кВ</t>
  </si>
  <si>
    <t>ООО "Самараэлектрореммонтаж- наладка"</t>
  </si>
  <si>
    <t>Договор № 29 от 29.08.2013</t>
  </si>
  <si>
    <t>Каитальный ремонт шкафов на КРУ-26-10кВ</t>
  </si>
  <si>
    <t>ООО "Энергостройпроект"</t>
  </si>
  <si>
    <t>Договор №04/Э-13 от 09.08.2013</t>
  </si>
  <si>
    <t>Пуско-наладка и проверка релейной защиты трансформатора Т-1 на ГПП-220/10/10</t>
  </si>
  <si>
    <t>Договор подряда №12 от 23.07.2013г., РС№378</t>
  </si>
  <si>
    <t xml:space="preserve">Итого </t>
  </si>
  <si>
    <t>Инженерно-геодезические изыскания для капитального ремонта кабельной линии 10кВ от ГПП 110/10кВ "АВИС" до РУ-3В, РУ-30, РУ-22</t>
  </si>
  <si>
    <t>газ</t>
  </si>
  <si>
    <t>по данным документа "Выписка из штатного расписания электротехнического персонала цеха, участвующего в процессе передачи эл.энергии с 01.01.2014г. (366-368 дела вх.№ 565/Р от 30.04.2014г.)</t>
  </si>
  <si>
    <t>Должность</t>
  </si>
  <si>
    <t>Группа</t>
  </si>
  <si>
    <t>Оклад, тариф</t>
  </si>
  <si>
    <t>Доплаты</t>
  </si>
  <si>
    <t>Премия</t>
  </si>
  <si>
    <t>КТУ</t>
  </si>
  <si>
    <t>выслуга</t>
  </si>
  <si>
    <t>Итого ФОТ в месяц</t>
  </si>
  <si>
    <t>ночные</t>
  </si>
  <si>
    <t>проф.     маст.</t>
  </si>
  <si>
    <t>совмещ.</t>
  </si>
  <si>
    <t>резерв</t>
  </si>
  <si>
    <t>секр.</t>
  </si>
  <si>
    <t>Рабочие производственные</t>
  </si>
  <si>
    <t>Разряд</t>
  </si>
  <si>
    <t>ФОТ в месяц, руб.</t>
  </si>
  <si>
    <t xml:space="preserve">Премия </t>
  </si>
  <si>
    <t xml:space="preserve">Доплаты </t>
  </si>
  <si>
    <t>Итого ФОТ в год</t>
  </si>
  <si>
    <t>ИТОГО произв.раб.</t>
  </si>
  <si>
    <t>вред- ность</t>
  </si>
  <si>
    <t>перер. по гр.</t>
  </si>
  <si>
    <t>Эл.монт.по рем. и обсл.</t>
  </si>
  <si>
    <t>Кол- во</t>
  </si>
  <si>
    <t>доп. лин. рук.</t>
  </si>
  <si>
    <t>бриг.</t>
  </si>
  <si>
    <t>ФОТ на 2014 год, тыс.руб.</t>
  </si>
  <si>
    <t>Премия (год)</t>
  </si>
  <si>
    <t xml:space="preserve"> Премия  1-ого ППП</t>
  </si>
  <si>
    <t>По цеху 2426 на передачу эл.энергии субабонентам  принята численность: рабочих в количестве 15 чел.; РСС + вспомог.раб. - 9 чел.</t>
  </si>
  <si>
    <t>по расч.норм.числ.</t>
  </si>
  <si>
    <t>раб.</t>
  </si>
  <si>
    <t>РСС+всп.раб.</t>
  </si>
  <si>
    <t>18 чел.</t>
  </si>
  <si>
    <t>14 чел.</t>
  </si>
  <si>
    <t>в договоре ФСК</t>
  </si>
  <si>
    <t>не хватает</t>
  </si>
  <si>
    <t>д.заплатить  по тарифам с МРСК на пл.объем 2014 г.</t>
  </si>
  <si>
    <t>Расчет выпадающих по независящим причинам доходов от оказания услуг по передаче электрической энергии</t>
  </si>
  <si>
    <t>доход</t>
  </si>
  <si>
    <t>расход</t>
  </si>
  <si>
    <t>Д.Б.</t>
  </si>
  <si>
    <t>Сумма,                                                                     тыс.руб. (без НДС)</t>
  </si>
  <si>
    <t>по ф.5 2013г.</t>
  </si>
  <si>
    <t>только авг-сент.</t>
  </si>
  <si>
    <t>нет</t>
  </si>
  <si>
    <t>утв.потери 2013г.</t>
  </si>
  <si>
    <t>№ КРК 0000070</t>
  </si>
  <si>
    <t>№ КРК 0000071</t>
  </si>
  <si>
    <t>№ КРК 0000068</t>
  </si>
  <si>
    <t>№ КРК 0000033</t>
  </si>
  <si>
    <t>ООО "Энергобытобслуживание"</t>
  </si>
  <si>
    <t>также в сальдированном выражении (п. 3.2.5 - п. 1.2.5)</t>
  </si>
  <si>
    <t>3.2.6.1</t>
  </si>
  <si>
    <t>3.2.1.</t>
  </si>
  <si>
    <t>1.2.4</t>
  </si>
  <si>
    <t>также в сальдированном выражении (п. 3.2.6 - п. 1.2.6)</t>
  </si>
  <si>
    <t>3.2.6</t>
  </si>
  <si>
    <t>3.2.7</t>
  </si>
  <si>
    <t>3.2.7.1</t>
  </si>
  <si>
    <t>также в сальдированном выражении (п. 3.2.7 - п. 1.2.7)</t>
  </si>
  <si>
    <t>14.2.5</t>
  </si>
  <si>
    <t>14.2.5.1</t>
  </si>
  <si>
    <t>также в сальдированном выражении (п. 14.2.5 - п. 12.2.5)</t>
  </si>
  <si>
    <t>14.2.6</t>
  </si>
  <si>
    <t>14.2.6.1</t>
  </si>
  <si>
    <t>также в сальдированном выражении (п. 14.2.6 - п. 12.2.6)</t>
  </si>
  <si>
    <t>14.2.7</t>
  </si>
  <si>
    <t>14.2.7.1</t>
  </si>
  <si>
    <t>также в сальдированном выражении (п. 14.2.7 - п. 12.2.7)</t>
  </si>
  <si>
    <t>сетевой организации ..</t>
  </si>
  <si>
    <t>25.2.3</t>
  </si>
  <si>
    <t>также в сальдированном выражении (п. 27.2.5 - п. 25.2.5)</t>
  </si>
  <si>
    <t>ФСК</t>
  </si>
  <si>
    <t>25.2.4</t>
  </si>
  <si>
    <t>сетевой организации ООО "Энергобытобслуживание"</t>
  </si>
  <si>
    <t xml:space="preserve"> + ЛОЦ "Космос"</t>
  </si>
  <si>
    <t>ЛОЦ</t>
  </si>
  <si>
    <t>на передачу сторонним потребителям (пром.площадка + ПСХ + ЛОЦ "Космос")</t>
  </si>
  <si>
    <t>План 2015г.                          отпуск ээ,</t>
  </si>
  <si>
    <t>Процент премирования                                                    (к тарифной ставке)</t>
  </si>
  <si>
    <t>По цеху 2452                                        (ЛОЦ "Космос")</t>
  </si>
  <si>
    <r>
      <t>Итого</t>
    </r>
    <r>
      <rPr>
        <b/>
        <sz val="11"/>
        <rFont val="Times New Roman"/>
        <family val="1"/>
        <charset val="204"/>
      </rPr>
      <t xml:space="preserve">                                                                    (цех2426 + цех2496 + цех2452)</t>
    </r>
  </si>
  <si>
    <t>Заработная плата на 1-ого работника в месяц с 01.09.2014г., руб.</t>
  </si>
  <si>
    <t xml:space="preserve">Мастер участка </t>
  </si>
  <si>
    <t>Цех 2452 (ЛОЦ "Космос")</t>
  </si>
  <si>
    <t>ООО "ПТК"</t>
  </si>
  <si>
    <t xml:space="preserve">1. ПОЛЕЗНЫЙ ОТПУСК КОНЕЧНЫМ ПОТРЕБИТЕЛЯМ *  </t>
  </si>
  <si>
    <t>Примечание: * -  указать дату и № действующего договора оказания услуг по передаче электрической энергии;</t>
  </si>
  <si>
    <t xml:space="preserve">                        ** -  действующий договор энергоснабжения №58 от 01.01.2013г.</t>
  </si>
  <si>
    <t>час</t>
  </si>
  <si>
    <t>по данным документа "Расчет фонда заработной платы вспомогательных рабочих по цеху 2452" стр.________</t>
  </si>
  <si>
    <t>Расчет среднемесячной тарифной ставки, процентов выплат и премии работников</t>
  </si>
  <si>
    <t>электротехнического персонала цеха (2452), участвующего в передаче эл.энергии ОАО "РКЦ "Прогресс" ЛОЦ "Космос"</t>
  </si>
  <si>
    <t>Сведения о численности и заработной плате электротехнического персонала</t>
  </si>
  <si>
    <t xml:space="preserve"> цеха 2452 ЛОЦ "Космос", участвующего в процессе передачи эл.энергии потребителям</t>
  </si>
  <si>
    <t>в т.ч. на передачу электроэнергии потребителям по расчету нормативной численности</t>
  </si>
  <si>
    <t>Выплаты, связанные с режимом работы с условиями труда (год)</t>
  </si>
  <si>
    <t>Проценты выплат</t>
  </si>
  <si>
    <t xml:space="preserve">Первоначальная, остаточная стоимость на 01.01.2014г., амортизация за январь 2014 г. по инвентарным номерам объектов ОС (ТП, линий электропередач) </t>
  </si>
  <si>
    <t>представлены на стр._______.</t>
  </si>
  <si>
    <t xml:space="preserve">Первоначальная, остаточная стоимость на 01.04.2013г., амортизация за месяц по подстанции 1 инв.№ 971029, подстанции 2 инв.№ 970004 цеха 2452 (ЛОЦ "Космос") </t>
  </si>
  <si>
    <t>Подстанции ТП 1 инв.№ 971029 , ТП 2 инв.№ 970004 цех 2452 (ЛОЦ "Космос")</t>
  </si>
  <si>
    <t>ср.сл., год</t>
  </si>
  <si>
    <t>Объем отпуска эл.эн., тыс.квтч</t>
  </si>
  <si>
    <t>по структуре ПО</t>
  </si>
  <si>
    <t>ООО "НК-Энергосбыт"</t>
  </si>
  <si>
    <t xml:space="preserve">в целом по предприятию (пром.площадка + ПСХ + ЛОЦ "Космос") </t>
  </si>
  <si>
    <t>по отделу 2680 (цех 2426 пром.площадка) представлены в дополнительных материалах тарифного дела вх.№7720 от 01.08.2014г.на стр.433-434.</t>
  </si>
  <si>
    <t>на восстановление основных производственных фондов общехозяйственного назначения</t>
  </si>
  <si>
    <t>ООО "Кронос-Строй"</t>
  </si>
  <si>
    <t>в т.ч. итого ремонт п.1-п.5</t>
  </si>
  <si>
    <t xml:space="preserve">2014 г. затраты на потребителя                                        </t>
  </si>
  <si>
    <t>Договор подряда № 10 от 24.07.2012г., РС-475, акт вып.раб., справка о стоимости вып.раб.и затрат, счет на оплату, счет-фактура</t>
  </si>
  <si>
    <t>Договор подряда № 13 от 03.09.2012 г., РС-562, акт вып.раб., сравка о стоимости вып.раб. и затрат, счет на оплату, счет-фактура</t>
  </si>
  <si>
    <r>
      <t>Работы по замене второго питающего кабеля 10кВ от ТП-11 до ТП-1 в ДОЛ "Орлёнок"</t>
    </r>
    <r>
      <rPr>
        <b/>
        <i/>
        <sz val="10"/>
        <color rgb="FFFF0000"/>
        <rFont val="Arial"/>
        <family val="2"/>
        <charset val="204"/>
      </rPr>
      <t xml:space="preserve"> </t>
    </r>
    <r>
      <rPr>
        <i/>
        <sz val="10"/>
        <color rgb="FFFF0000"/>
        <rFont val="Arial"/>
        <family val="2"/>
        <charset val="204"/>
      </rPr>
      <t xml:space="preserve">(из материалов заказчика) </t>
    </r>
  </si>
  <si>
    <r>
      <t xml:space="preserve">Монтаж эстакады перехода через овраг 2-ого питающего кабеля 10кВ от ТП-11 до ТП-1 в ДОЛ "Орленок" </t>
    </r>
    <r>
      <rPr>
        <i/>
        <sz val="10"/>
        <color rgb="FFFF0000"/>
        <rFont val="Arial"/>
        <family val="2"/>
        <charset val="204"/>
      </rPr>
      <t xml:space="preserve">(из материалов заказчика) </t>
    </r>
  </si>
  <si>
    <r>
      <rPr>
        <b/>
        <sz val="10"/>
        <rFont val="Arial"/>
        <family val="2"/>
        <charset val="204"/>
      </rPr>
      <t xml:space="preserve">На 2015 год </t>
    </r>
    <r>
      <rPr>
        <sz val="10"/>
        <rFont val="Arial"/>
        <family val="2"/>
        <charset val="204"/>
      </rPr>
      <t xml:space="preserve">затраты по статье "Работы и услуги производственного характера" по участку передачи эл.энергии потребителям запланированы С Кинд.к 2014 г. =1,049 и составят 1624,6 х1,049 = </t>
    </r>
    <r>
      <rPr>
        <b/>
        <sz val="10"/>
        <rFont val="Arial"/>
        <family val="2"/>
        <charset val="204"/>
      </rPr>
      <t>1704,2тыс.руб.</t>
    </r>
  </si>
  <si>
    <t xml:space="preserve">В материалах дела вх.№ 565/Р от 30.04.2014г. на стр.395-413 представлены технические сметы за 2013 г.на работы по выполнению капитального </t>
  </si>
  <si>
    <t>Перчатки диэлектрические</t>
  </si>
  <si>
    <t>Подтверждающий документ</t>
  </si>
  <si>
    <t xml:space="preserve"> 1 полугодие 2014 год </t>
  </si>
  <si>
    <t xml:space="preserve"> 2013 год </t>
  </si>
  <si>
    <t>накладная на отпуск материалов</t>
  </si>
  <si>
    <t>Электротехнические материалы (по акту сверки)</t>
  </si>
  <si>
    <t xml:space="preserve"> 2012 год для выполнения работ по замене второго питающего кабеля 10кВ от ТП-11 до ТП-1 в ДОЛ "Орлёнок"</t>
  </si>
  <si>
    <t>накладнаые на отпуск материалов на сторону представлены в разделе "Работы и услуги производственного характера" на стр. __________,</t>
  </si>
  <si>
    <t>Наконечник кабельный ТАМ-185</t>
  </si>
  <si>
    <t>Муфта Стп-10-150/240 3100,00</t>
  </si>
  <si>
    <t>Муфты эл. 1031,64</t>
  </si>
  <si>
    <t>Кабель АСБу 10-3х185 648,82</t>
  </si>
  <si>
    <t>Кабель АСБп 10-3х185 572,08</t>
  </si>
  <si>
    <t>Доля затрат на передачу эл.энергии потребителям определена в разделе "Амортизация" на стр. ______ и составляет d = 13,48%.</t>
  </si>
  <si>
    <t xml:space="preserve">Доля затрат на передачу эл.энергии потребителям определена в разделе "Амортизация" на стр. ______ и составляет d = 13,48% </t>
  </si>
  <si>
    <t>(22 941,249 тыс.кВтч/(145 878,360 + 1 416,130 +22 941,249) тыс.кВтч= 22 941,249тыс.кВтч/170 235,739тыс.кВтч=13,48%).</t>
  </si>
  <si>
    <t>3. Ремонтные работы по п.4 и п.5 таблицы проводились из материалов заказчика (ФГУП ГНПРКЦ "ЦСКБ-Прогресс"), затраты на материалы на прокладку кабеля сведены в разделе "Материалы" на стр._____.</t>
  </si>
  <si>
    <r>
      <t xml:space="preserve">Сумма, </t>
    </r>
    <r>
      <rPr>
        <b/>
        <sz val="10"/>
        <rFont val="Times New Roman"/>
        <family val="1"/>
        <charset val="204"/>
      </rPr>
      <t>руб.,</t>
    </r>
    <r>
      <rPr>
        <sz val="10"/>
        <rFont val="Times New Roman"/>
        <family val="1"/>
        <charset val="204"/>
      </rPr>
      <t xml:space="preserve"> без НДС</t>
    </r>
  </si>
  <si>
    <t>цех 2426 (пром.площадка)</t>
  </si>
  <si>
    <t>цех 2452 (ЛОЦ "Космос")</t>
  </si>
  <si>
    <t>Наименование подразделение</t>
  </si>
  <si>
    <t>Итого затраты по статье "Материалы" для оказания услуг по передаче эл.энергии потребителям ОАО "РКЦ "Прогресс" составили:</t>
  </si>
  <si>
    <t>ремонта оборудования (ТП, КРУ, кабель), участвующего в передаче электрической энергии потребителям подразделения 2426 (промплощадка).</t>
  </si>
  <si>
    <t>с приложением подтверждающих документов представлен в дополнительных материалах тарифного дела вх.№ 7720 от 01.08.2014 г. на стр.293-346.</t>
  </si>
  <si>
    <t xml:space="preserve">Расчет затрат на электротехнические материалы на обслуживание и ремонт оборудования участка электроснабжения потребителей  по пром.площадке </t>
  </si>
  <si>
    <t xml:space="preserve">Затраты на электротехнические материалы для оказания услуг по передаче электрической энергии по цеху 2452 (ЛОЦ "Космос") на 2014 г. взяты </t>
  </si>
  <si>
    <r>
      <t>Затраты по статье "Материалы" на передачу эл.энергии</t>
    </r>
    <r>
      <rPr>
        <b/>
        <sz val="12"/>
        <rFont val="Times New Roman"/>
        <family val="1"/>
        <charset val="204"/>
      </rPr>
      <t xml:space="preserve"> потребителям </t>
    </r>
    <r>
      <rPr>
        <sz val="12"/>
        <rFont val="Times New Roman"/>
        <family val="1"/>
        <charset val="204"/>
      </rPr>
      <t xml:space="preserve">ЛОЦ "Космос" взяты в доле пропорционально переданным кВтч </t>
    </r>
  </si>
  <si>
    <t xml:space="preserve">Затраты по  статье матриалы на потребителя, тыс.руб. </t>
  </si>
  <si>
    <r>
      <t xml:space="preserve">На </t>
    </r>
    <r>
      <rPr>
        <b/>
        <sz val="12"/>
        <rFont val="Times New Roman"/>
        <family val="1"/>
        <charset val="204"/>
      </rPr>
      <t xml:space="preserve">2014 г. </t>
    </r>
    <r>
      <rPr>
        <sz val="12"/>
        <rFont val="Times New Roman"/>
        <family val="1"/>
        <charset val="204"/>
      </rPr>
      <t xml:space="preserve">затраты по статье "вспомогательные материалы" для оказания услуг по передачe эл.энергии потребителям по цеху 2426 (пром.площадка) </t>
    </r>
  </si>
  <si>
    <t>взяты на уровне факта 2013г.и составляют  1 157,3 тыс.руб.</t>
  </si>
  <si>
    <t>Расчет стоимости затрат по статье «Материалы» на передачу электрической энергии потребителям ОАО "РКЦ "Прогресс" на 2015 г.  (с учетом участка ЛОЦ «Космос», г. Самара, Красноглинский район, п. Прибрежный)</t>
  </si>
  <si>
    <t>24.04.2014, 30.04.2014,  30.06.2014</t>
  </si>
  <si>
    <t>ООО "ТД"УНКОМТЕКС"</t>
  </si>
  <si>
    <t>09.06.2014г.</t>
  </si>
  <si>
    <t>счт-фактура</t>
  </si>
  <si>
    <t>ООО "Эл-Пром-С</t>
  </si>
  <si>
    <t>Светильники</t>
  </si>
  <si>
    <t>товарная накладные</t>
  </si>
  <si>
    <t>№ 306 29.04.2014</t>
  </si>
  <si>
    <t>№ 308 29.04.2014</t>
  </si>
  <si>
    <t>№ 307 29.04.2014</t>
  </si>
  <si>
    <t>Светильники, выключатели</t>
  </si>
  <si>
    <t>№ 168 24.04.2014</t>
  </si>
  <si>
    <r>
      <t xml:space="preserve">на уровне затрат за 1 полугодие 2014г., умноженного на 2, и составят 782 715,49 руб./ 1000 х 2  = </t>
    </r>
    <r>
      <rPr>
        <b/>
        <sz val="12"/>
        <rFont val="Times New Roman"/>
        <family val="1"/>
        <charset val="204"/>
      </rPr>
      <t>1 565,4 тыс.руб.</t>
    </r>
  </si>
  <si>
    <r>
      <t xml:space="preserve">На </t>
    </r>
    <r>
      <rPr>
        <b/>
        <sz val="12"/>
        <rFont val="Times New Roman"/>
        <family val="1"/>
        <charset val="204"/>
      </rPr>
      <t xml:space="preserve">2015 г. </t>
    </r>
    <r>
      <rPr>
        <sz val="12"/>
        <rFont val="Times New Roman"/>
        <family val="1"/>
        <charset val="204"/>
      </rPr>
      <t>затраты по статье "материалы"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2014г. </t>
    </r>
    <r>
      <rPr>
        <sz val="12"/>
        <rFont val="Times New Roman"/>
        <family val="1"/>
        <charset val="204"/>
      </rPr>
      <t xml:space="preserve">= 1,049 и составят </t>
    </r>
    <r>
      <rPr>
        <b/>
        <sz val="12"/>
        <rFont val="Times New Roman"/>
        <family val="1"/>
        <charset val="204"/>
      </rPr>
      <t xml:space="preserve">1 642,1 тыс.руб. </t>
    </r>
    <r>
      <rPr>
        <sz val="12"/>
        <rFont val="Times New Roman"/>
        <family val="1"/>
        <charset val="204"/>
      </rPr>
      <t>(1 565,4 тыс.руб. х 1,049 = 1 642,1 тыс.руб.)</t>
    </r>
  </si>
  <si>
    <r>
      <t xml:space="preserve">на собственное потребление и потребителям и составят </t>
    </r>
    <r>
      <rPr>
        <b/>
        <sz val="12"/>
        <rFont val="Times New Roman"/>
        <family val="1"/>
        <charset val="204"/>
      </rPr>
      <t>на 2014 год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211,0 тыс.руб. (</t>
    </r>
    <r>
      <rPr>
        <sz val="12"/>
        <rFont val="Times New Roman"/>
        <family val="1"/>
        <charset val="204"/>
      </rPr>
      <t>1 565,4 тыс.руб.х 13,48% = 211,0 тыс.руб.),</t>
    </r>
  </si>
  <si>
    <r>
      <rPr>
        <b/>
        <sz val="12"/>
        <rFont val="Times New Roman"/>
        <family val="1"/>
        <charset val="204"/>
      </rPr>
      <t xml:space="preserve">на 2015 г. </t>
    </r>
    <r>
      <rPr>
        <sz val="12"/>
        <rFont val="Times New Roman"/>
        <family val="1"/>
        <charset val="204"/>
      </rPr>
      <t xml:space="preserve">затраты проиндексированы на Кинд.к 2014г. = 1,049 и составят </t>
    </r>
    <r>
      <rPr>
        <b/>
        <sz val="12"/>
        <rFont val="Times New Roman"/>
        <family val="1"/>
        <charset val="204"/>
      </rPr>
      <t>221,4 тыс.руб.</t>
    </r>
    <r>
      <rPr>
        <sz val="12"/>
        <rFont val="Times New Roman"/>
        <family val="1"/>
        <charset val="204"/>
      </rPr>
      <t xml:space="preserve"> (211,0 тыс.руб. х 1,049 = 221,4 тыс.руб.)</t>
    </r>
  </si>
  <si>
    <t>по предлож.ФСК на 2015г.</t>
  </si>
  <si>
    <t>рост с июля</t>
  </si>
  <si>
    <t>исправить</t>
  </si>
  <si>
    <t>АО "РКЦ "Прогресс"</t>
  </si>
  <si>
    <t xml:space="preserve">Структура полезного отпуска электрической энергии (мощности) на 2016 год         </t>
  </si>
  <si>
    <t xml:space="preserve">Структура полезного отпуска электрической энергии (мощности) на 1 полугодие 2016 года         </t>
  </si>
  <si>
    <t xml:space="preserve">АО "РКЦ "Прогресс" </t>
  </si>
  <si>
    <t xml:space="preserve">Структура полезного отпуска электрической энергии (мощности) на 2 полугодие 2016 года         </t>
  </si>
  <si>
    <t>Руководитель сетевой организации АО "РКЦ "Прогресс"</t>
  </si>
  <si>
    <t>ФСК 2015</t>
  </si>
  <si>
    <t>1 полугодие 2016 г.</t>
  </si>
  <si>
    <t>Итого 2016 г.</t>
  </si>
  <si>
    <t>2 полугодие 2016 г.</t>
  </si>
  <si>
    <t>Итого 2015 г.</t>
  </si>
  <si>
    <t xml:space="preserve">1. Доля затрат на потребителя по п.2-п.7 отнесена на передачу эл.энергии сторонним потребителям пропорционально фактическим объемам передачи кВтч по данным формы 5 за 2014г.) </t>
  </si>
  <si>
    <t>2014г.</t>
  </si>
  <si>
    <t>d = 13,52% (21287,1тыс.кВтч/172043,17тыс.кВтч).</t>
  </si>
  <si>
    <t>2016г.</t>
  </si>
  <si>
    <r>
      <t xml:space="preserve">На </t>
    </r>
    <r>
      <rPr>
        <b/>
        <sz val="12"/>
        <rFont val="Times New Roman"/>
        <family val="1"/>
        <charset val="204"/>
      </rPr>
      <t xml:space="preserve">2016 г. </t>
    </r>
    <r>
      <rPr>
        <sz val="12"/>
        <rFont val="Times New Roman"/>
        <family val="1"/>
        <charset val="204"/>
      </rPr>
      <t>затраты по статье "вспомогательные материалы"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2015г. </t>
    </r>
    <r>
      <rPr>
        <sz val="12"/>
        <rFont val="Times New Roman"/>
        <family val="1"/>
        <charset val="204"/>
      </rPr>
      <t>= 1,079</t>
    </r>
  </si>
  <si>
    <t>и составят = 1 157,3 х 1,079=</t>
  </si>
  <si>
    <r>
      <t xml:space="preserve">На </t>
    </r>
    <r>
      <rPr>
        <b/>
        <sz val="12"/>
        <rFont val="Times New Roman"/>
        <family val="1"/>
        <charset val="204"/>
      </rPr>
      <t xml:space="preserve">2016 г. </t>
    </r>
    <r>
      <rPr>
        <sz val="12"/>
        <rFont val="Times New Roman"/>
        <family val="1"/>
        <charset val="204"/>
      </rPr>
      <t>затраты по статье "материалы" проиндексированы на К</t>
    </r>
    <r>
      <rPr>
        <vertAlign val="subscript"/>
        <sz val="12"/>
        <rFont val="Times New Roman"/>
        <family val="1"/>
        <charset val="204"/>
      </rPr>
      <t xml:space="preserve">инд.к 2015г. </t>
    </r>
    <r>
      <rPr>
        <sz val="12"/>
        <rFont val="Times New Roman"/>
        <family val="1"/>
        <charset val="204"/>
      </rPr>
      <t>= 1,079 и составят 1248,7 тыс.руб.</t>
    </r>
  </si>
  <si>
    <t xml:space="preserve"> +</t>
  </si>
  <si>
    <t>2015 год утв.</t>
  </si>
  <si>
    <t>утв.2015</t>
  </si>
  <si>
    <t xml:space="preserve"> 2013год</t>
  </si>
  <si>
    <t>Реестр документов, подтверждающих поступление электротехнических материалов на обслуживание и ремонт оборудования участка электроснабжения потребителей АО "РКЦ "Прогресс" за 2013 г.</t>
  </si>
  <si>
    <t xml:space="preserve">Реестр договоров и платежных поручений, подтверждающих затраты по статье "Работы и услуги производственного характера" </t>
  </si>
  <si>
    <t>Сумма 2014 г.,     без НДС</t>
  </si>
  <si>
    <t>Договор подряда №0000052156 от 18.03.2014 , пп № 9683 от 03.10.2014</t>
  </si>
  <si>
    <t>Договор подряда №0000052160 от 18.03.2014, пп № 9684 от 03.10.2014</t>
  </si>
  <si>
    <t>Договор подряда №0000052355 от 18.03.2014, пп № 9685 от 03.10.2014</t>
  </si>
  <si>
    <t>Договор подряда №0000052157 от 18.03.2014, пп № 5434 от 03.03.15</t>
  </si>
  <si>
    <t>Обучение специалистов по программе "Электроэнергетика", предэкзаменационная подготовка электротехнического персонала по Правилам по охране труда при эксплуатации электроустановок</t>
  </si>
  <si>
    <t>НОУ "ЦДО "Промэнергобезопасность"</t>
  </si>
  <si>
    <t>Договор , счета</t>
  </si>
  <si>
    <t>2. Затраты на потребителя по п.5  отнесены на передачу эл.энергии сторонним потребителям пропорционально объемам передачи в тыс.кВтч в 2014 г. (по данным формы 5).</t>
  </si>
  <si>
    <t>Экспертиза технологических потерь электрической энергии, расчет и обоснование тарифов на услуги по передаче электроэнергии</t>
  </si>
  <si>
    <r>
      <t xml:space="preserve">Договора № 179/14 от 26.02.2014, № 177/14 от 26.02.2014, </t>
    </r>
    <r>
      <rPr>
        <sz val="10"/>
        <color rgb="FFFF0000"/>
        <rFont val="Arial"/>
        <family val="2"/>
        <charset val="204"/>
      </rPr>
      <t>№ 286/14 от 23.04.2014г., № 287/14 от 23.04.2014г.</t>
    </r>
  </si>
  <si>
    <t>по линиям электропередач  и подстанциям АО "РКЦ "Прогресс"</t>
  </si>
  <si>
    <t>Расчет суммы платы АО "РКЦ "Прогресс"</t>
  </si>
  <si>
    <t>по участку передачи электрической энергии потребителям АО "РКЦ "Прогресс"</t>
  </si>
  <si>
    <t>6266,23 утверд.МЭ 2016</t>
  </si>
  <si>
    <t>данные ССК, Метро, РЖД</t>
  </si>
  <si>
    <t>конечные потребители по стр-ре 2016г., утв.мэ</t>
  </si>
  <si>
    <t>ПАО "ФСК ЕЭС"</t>
  </si>
  <si>
    <t>АО "Самаранефтегаз"</t>
  </si>
  <si>
    <t>ПАО "МРСК Волги"</t>
  </si>
  <si>
    <t>фск 2016г.</t>
  </si>
  <si>
    <t>РЖД+Метро</t>
  </si>
  <si>
    <t>было к 01.05.2015</t>
  </si>
  <si>
    <t>было 02.11.15</t>
  </si>
  <si>
    <t>27.2.7</t>
  </si>
  <si>
    <t>27.2.7.1</t>
  </si>
  <si>
    <t>также в сальдированном выражении (п. 27.2.7 - п. 25.2.7)</t>
  </si>
  <si>
    <t>главный инженер АО "РКЦ "Прогресс"</t>
  </si>
  <si>
    <t>Руководитель  ПАО "ФСК ЕЭС"   _________________________________</t>
  </si>
  <si>
    <t>Руководитель  ПАО "МРСК Волги"   ______________________________________</t>
  </si>
  <si>
    <t>Руководитель  АО "Самаранефтегаз"   ____________________________________</t>
  </si>
  <si>
    <t>Руководитель ООО "Энергобытобслуживание" _______________________________</t>
  </si>
  <si>
    <t xml:space="preserve">сетевой организации АО «РКЦ «Прогресс» за 2015 г., </t>
  </si>
  <si>
    <t>Покупка потерь на потребителя в ОАО "Самараэнерго" за 2015 г.</t>
  </si>
  <si>
    <t xml:space="preserve">Доход АО "РКЦ "Прогресс" от ОАО "Самараэнерго" за услуги по передаче за 2015 г. (по котловым тарифам) - </t>
  </si>
  <si>
    <t>подлежащих включению в НВВ на передачу электрической энергии в 2017 г.</t>
  </si>
  <si>
    <t xml:space="preserve">Платежи АО "РКЦ "Прогресс" в адрес ОАО "РЖД" КДЭ СП Трансэнерго за услуги по передаче эл.энергии за 2015 г.- </t>
  </si>
  <si>
    <t xml:space="preserve">Платежи АО "РКЦ "Прогресс" в адрес ОАО "МРСК Волги" за услуги по передаче эл.энергии за 2015 г.- </t>
  </si>
  <si>
    <t xml:space="preserve">Платежи АО "РКЦ "Прогресс" в адрес ЗАО "ССК"(подсобное хозяйство Борское) за услуги по передаче эл.энергии за 2015 г.- </t>
  </si>
  <si>
    <t xml:space="preserve">Платежи АО "РКЦ "Прогресс" в адрес ЗАО "ССК"(промплощадка) за услуги по передаче эл.энергии за 2015 г.- </t>
  </si>
  <si>
    <t xml:space="preserve">Платежи АО "РКЦ "Прогресс" в адрес АО "Самаранефтегаз" за услуги по передаче эл.энергии за 2015 г.- </t>
  </si>
  <si>
    <t>в т.ч. Оплата услуг ПАО "ФСК ЕЭС"</t>
  </si>
  <si>
    <t>Утвержденная НВВ АО "РКЦ "Прогресс" (с учетом оплаты услуг ПАО "ФСК ЕЭС" и без уч.оплаты потерь на потребителя) на 2015 г. -</t>
  </si>
  <si>
    <t xml:space="preserve"> в т.ч. Утвержденная НВВ АО "РКЦ "Прогресс" на 2015 г. (без оплаты услуг ПАО "ФСК ЕЭС" и оплаты потерь) - </t>
  </si>
  <si>
    <t>Утвержденнная выручка АО "РКЦ "Прогресс" на 2015 год</t>
  </si>
  <si>
    <t>Фактическая выручка АО "РКЦ "Прогресс" за 2015 год</t>
  </si>
  <si>
    <t>Платежи АО "РКЦ "Прогресс"</t>
  </si>
  <si>
    <t xml:space="preserve">в т.ч. Доход АО "РКЦ "Прогресс" от МП г.о.Самара "Самарский метрополитен" за услуги по передаче за 2015 г.- </t>
  </si>
  <si>
    <t xml:space="preserve">в т.ч. Доход АО "РКЦ "Прогресс" от ЗАО "СГЭС" за услуги по передаче эл.энергии за 2015 г.- </t>
  </si>
  <si>
    <t>Оплата услуг  ПАО "ФСК ЕЭС"</t>
  </si>
  <si>
    <t>Доход АО "РКЦ "Прогресс" всего</t>
  </si>
  <si>
    <t>3.4.</t>
  </si>
  <si>
    <t>3.5.</t>
  </si>
  <si>
    <t>3.6.</t>
  </si>
  <si>
    <t>3.7.</t>
  </si>
  <si>
    <t>Выпадающие доходы (убытки) АО "РКЦ "Прогресс" от осуществления деятельности по передаче электрической энергии за 2015г.</t>
  </si>
  <si>
    <t>Фактическая выручка АО "РКЦ "Прогресс" на осуществления деятельности по передаче электрической энергии за 2015г.(на содержание сетей)</t>
  </si>
  <si>
    <r>
      <t xml:space="preserve">В связи со сложившейся ситуацией в 2015 г., прошу учесть </t>
    </r>
    <r>
      <rPr>
        <b/>
        <sz val="10"/>
        <rFont val="Arial CYR"/>
        <charset val="204"/>
      </rPr>
      <t>выпадающие доходы</t>
    </r>
    <r>
      <rPr>
        <sz val="10"/>
        <rFont val="Arial CYR"/>
        <charset val="204"/>
      </rPr>
      <t xml:space="preserve">  (убытки) АО "РКЦ "Прогресс" от осуществления деятельности по передаче электрической энергии</t>
    </r>
    <r>
      <rPr>
        <b/>
        <sz val="10"/>
        <rFont val="Arial CYR"/>
        <charset val="204"/>
      </rPr>
      <t xml:space="preserve"> за 2015 г.</t>
    </r>
  </si>
  <si>
    <t>16584,20-16040,47 = +543,73 тыс.руб.</t>
  </si>
  <si>
    <t>2854,92 - 543,73 = +2311,19 тыс.руб.</t>
  </si>
  <si>
    <t>от   ПАО "ФСК ЕЭС"</t>
  </si>
  <si>
    <t>от АО "Самаранефтегаз"</t>
  </si>
  <si>
    <t>I. ПОЛЕЗНЫЙ ОТПУСК КОНЕЧНЫМ ПОТРЕБИТЕЛЯМ *</t>
  </si>
  <si>
    <t>МАКС</t>
  </si>
  <si>
    <t>2016УТВ.</t>
  </si>
  <si>
    <t>1.1 Монопотребитель** (Наименование организации)</t>
  </si>
  <si>
    <t>2. НАСЕЛЕНИЕ</t>
  </si>
  <si>
    <t>II. СОБСТВЕННОЕ ПОТРЕБЛЕНИЕ (в целом по юридическому лицу) ***</t>
  </si>
  <si>
    <t xml:space="preserve">                         ** - в соответствии с критериями, определенными постановлением Правительства Российской Федерации от 29.12.2011 № 1178;</t>
  </si>
  <si>
    <t>_____________________ ПАО "Самараэнерго"</t>
  </si>
  <si>
    <r>
      <t>в размере -</t>
    </r>
    <r>
      <rPr>
        <b/>
        <sz val="10"/>
        <rFont val="Arial CYR"/>
        <charset val="204"/>
      </rPr>
      <t xml:space="preserve"> 2311,19 тыс.руб. </t>
    </r>
    <r>
      <rPr>
        <sz val="10"/>
        <rFont val="Arial CYR"/>
        <charset val="204"/>
      </rPr>
      <t>при  утверждении необходимой валовой выручки на 2017 г.</t>
    </r>
  </si>
  <si>
    <r>
      <t xml:space="preserve"> ???+доход от нк энергосбыт+ энергобытобслуживание </t>
    </r>
    <r>
      <rPr>
        <b/>
        <sz val="10"/>
        <color rgb="FFFF0000"/>
        <rFont val="Calibri"/>
        <family val="2"/>
        <charset val="204"/>
      </rPr>
      <t>≈</t>
    </r>
    <r>
      <rPr>
        <b/>
        <sz val="10"/>
        <color rgb="FFFF0000"/>
        <rFont val="Arial Cyr"/>
        <charset val="204"/>
      </rPr>
      <t>6,0+27,0=33,0т.р.</t>
    </r>
  </si>
  <si>
    <r>
      <t xml:space="preserve">в т.ч. на передачу электроэнергии субабонентам </t>
    </r>
    <r>
      <rPr>
        <sz val="11"/>
        <rFont val="Times New Roman"/>
        <family val="1"/>
        <charset val="204"/>
      </rPr>
      <t xml:space="preserve"> в доле </t>
    </r>
    <r>
      <rPr>
        <sz val="11"/>
        <color rgb="FFFF0000"/>
        <rFont val="Times New Roman"/>
        <family val="1"/>
        <charset val="204"/>
      </rPr>
      <t>17,31</t>
    </r>
    <r>
      <rPr>
        <b/>
        <sz val="11"/>
        <color rgb="FFFF0000"/>
        <rFont val="Times New Roman"/>
        <family val="1"/>
        <charset val="204"/>
      </rPr>
      <t xml:space="preserve"> %</t>
    </r>
  </si>
  <si>
    <t>по сч-ф</t>
  </si>
  <si>
    <t xml:space="preserve"> + псх</t>
  </si>
  <si>
    <t>А. В. Кочетков</t>
  </si>
  <si>
    <t>Корректировка (оптимизация)</t>
  </si>
  <si>
    <t>по факту 2016 г.</t>
  </si>
  <si>
    <t>нас.СН2</t>
  </si>
  <si>
    <t>нас.НН</t>
  </si>
  <si>
    <t>++++</t>
  </si>
  <si>
    <t>ССК</t>
  </si>
  <si>
    <t>ЭБО</t>
  </si>
  <si>
    <t>уточнить</t>
  </si>
  <si>
    <t>мрск</t>
  </si>
  <si>
    <t>потери всего</t>
  </si>
  <si>
    <t xml:space="preserve"> АО "ССК" </t>
  </si>
  <si>
    <t>факт 2016г.</t>
  </si>
  <si>
    <t>+</t>
  </si>
  <si>
    <t>?</t>
  </si>
  <si>
    <t>Руководитель АО "ССК"   ________________________</t>
  </si>
  <si>
    <t>Оплата услуг ПАО "ФСК ЕЭС"</t>
  </si>
  <si>
    <t>НВВ на передачу электрической энергии АО "РКЦ"Прогресс"</t>
  </si>
  <si>
    <t>Расшифровка и обоснование статьи 2018 г.</t>
  </si>
  <si>
    <t>Расходы из прибыли (расходы по коллективным договорам)</t>
  </si>
  <si>
    <t>Отчисления на социальные нужды  (31,7%)</t>
  </si>
  <si>
    <t>Итого неподконтрольные расходы</t>
  </si>
  <si>
    <t xml:space="preserve">Итого НВВ на содержание                </t>
  </si>
  <si>
    <t>Корректировка НВВ на 2018 г.на содержание с учетом достижения плановых показателей уровня надежности и качества оказываемых услуг</t>
  </si>
  <si>
    <t>Период регули- рования i= 2018 г.</t>
  </si>
  <si>
    <t xml:space="preserve"> Корр.НВВ = (НВВ сод.i-2 х Коб х Пкор)= 9706,37 тыс.руб.х 0,65 х 2 % = 143,3тыс.руб.</t>
  </si>
  <si>
    <t xml:space="preserve"> Копии первичных документов (счетов-фактур, платежных поручений по оплате электротехнических материалов на обслуживание и ремонт оборудования участка электроснабжения в целом по организации) за 2016 год прилагаются с сопроводительным письмом.                                               </t>
  </si>
  <si>
    <t>Электротехнические материалы на выполнение работ по ремонту и тех.обслуживанию собственными силами ТП и сетей, обслуживающих потребителя, взяты по факту 2016г. (по ф.5.2.63) с учетом изменения полезного отпуска потребителям и с учетом коээфициента индексации по годам, учитывающего ИПЦ и индекс изменения активов Кинд.на 2017г. =1,0296 и Кинд.на 2018г. =0,876.</t>
  </si>
  <si>
    <t xml:space="preserve">Расчет стоимости на материалы произведен на стр.174 дела вх.№359/Р от 27.04.17 г.                                    </t>
  </si>
  <si>
    <t>Затраты на 2018 год составляют:</t>
  </si>
  <si>
    <t>Фактические затраты материалов за 2016год  на 1кВтч полезного отпуска, руб. = 2173,5 тыс.руб. (по ф.5.2.63) / 14906,146тыс.квтч = 0,14581руб./кВтч;</t>
  </si>
  <si>
    <t>Планируемый полезный отпуск эл.энергии потребителям на 2018 год = 14635,4 тыс.кВтч;</t>
  </si>
  <si>
    <r>
      <rPr>
        <b/>
        <sz val="10"/>
        <rFont val="Times New Roman"/>
        <family val="1"/>
        <charset val="204"/>
      </rPr>
      <t>Прочие расходы</t>
    </r>
    <r>
      <rPr>
        <sz val="10"/>
        <rFont val="Times New Roman"/>
        <family val="1"/>
        <charset val="204"/>
      </rPr>
      <t xml:space="preserve"> включают ОХР, размер которых рассчитан по формуле 2 методических указаний № 98-э от 17.02.2012 г. путем умножения утвержденных подконтрольных расходов организации на 2017 год по протоколу министерства энергетики и ЖКХ СО от 28.12.2016г. №14-э на коэффициент индексации на 2018 год, рассчитанный с учетом индекса эффективности ПР, индекса изменения активов, индекса эффективности затрат по росту активов (69,6 тыс.руб. х 0,876 =</t>
    </r>
    <r>
      <rPr>
        <b/>
        <sz val="10"/>
        <rFont val="Times New Roman"/>
        <family val="1"/>
        <charset val="204"/>
      </rPr>
      <t xml:space="preserve"> 61,0 тыс.руб.).</t>
    </r>
  </si>
  <si>
    <t xml:space="preserve">Общехозяйственные расходы на передачу эл.энергии составляют 0,002 % от общей суммы ОХР (стр. 186-188 дела вх.№ 359/Р от 27.04.2017г.). </t>
  </si>
  <si>
    <t>По данной статье запланированы премии к праздничным датами, поощрения к юбилеям, прочие премии из прибыли. Затраты запланированы с Кинд.на 2018г.=0,876 к утвержденным затратам на 2017 год Расходы по кол.дог.на 2018 год = 69,6 тыс.руб. х 0,876 = 61,0тыс.руб.</t>
  </si>
  <si>
    <t xml:space="preserve">Базовый период -                   2017г. (утверждено) </t>
  </si>
  <si>
    <r>
      <t xml:space="preserve">Налог на прибыль - как 20% от налогооблагаемой базы. Налогооблагаемая база = 61,0 тыс.руб. / 0,8 = 76,25 тыс.руб. </t>
    </r>
    <r>
      <rPr>
        <b/>
        <sz val="10"/>
        <rFont val="Times New Roman"/>
        <family val="1"/>
        <charset val="204"/>
      </rPr>
      <t xml:space="preserve">Налог на прибыль </t>
    </r>
    <r>
      <rPr>
        <sz val="10"/>
        <rFont val="Times New Roman"/>
        <family val="1"/>
        <charset val="204"/>
      </rPr>
      <t xml:space="preserve">= 76,25 тыс.руб. х 20% = </t>
    </r>
    <r>
      <rPr>
        <b/>
        <sz val="10"/>
        <rFont val="Times New Roman"/>
        <family val="1"/>
        <charset val="204"/>
      </rPr>
      <t>15,3 тыс.руб.</t>
    </r>
  </si>
  <si>
    <r>
      <t xml:space="preserve">ЕСН - 30,0 %; Обязательное страхование от несчастных случаев на производстве - </t>
    </r>
    <r>
      <rPr>
        <b/>
        <sz val="10"/>
        <rFont val="Times New Roman"/>
        <family val="1"/>
        <charset val="204"/>
      </rPr>
      <t xml:space="preserve">1,7 % </t>
    </r>
    <r>
      <rPr>
        <sz val="10"/>
        <rFont val="Times New Roman"/>
        <family val="1"/>
        <charset val="204"/>
      </rPr>
      <t>(уведомление прилагается стр.)</t>
    </r>
  </si>
  <si>
    <t>Расчет стоимости услуг ПАО "ФСК ЕЭС" произведен в таблице П1.13 (стр.65) на плановый отпуск в сеть в МВтч и МВт по утвержденным тарифам на 2018 год (стр.280-286)</t>
  </si>
  <si>
    <r>
      <t xml:space="preserve">1)  Расчет амортизационных отчислений по линиям электропередач  и подстанциям в целом по участку электроснабжения составит в 2017 г. 28,690тыс.руб. х 12 мес. = 852,0 тыс.руб. Расчет амортизационных отчислений по линиям электропередач  и подстанциям, отнесенных на передачу эл.энергии субабонентам  произведен пропорционально полезному отпуску в доле 9,51% (пром.площадка+участок ПСХ) - </t>
    </r>
    <r>
      <rPr>
        <b/>
        <sz val="10"/>
        <rFont val="Times New Roman"/>
        <family val="1"/>
        <charset val="204"/>
      </rPr>
      <t xml:space="preserve">81,0 тыс.руб. </t>
    </r>
    <r>
      <rPr>
        <sz val="10"/>
        <rFont val="Times New Roman"/>
        <family val="1"/>
        <charset val="204"/>
      </rPr>
      <t>(стр.288-289 дела Вх.№ 359/Р от 27.04.2017г.)</t>
    </r>
  </si>
  <si>
    <r>
      <t xml:space="preserve">Итого амортизация ОС на 2018 год запланирована в размере </t>
    </r>
    <r>
      <rPr>
        <b/>
        <sz val="10"/>
        <rFont val="Times New Roman"/>
        <family val="1"/>
        <charset val="204"/>
      </rPr>
      <t>115,6 тыс.руб.</t>
    </r>
    <r>
      <rPr>
        <sz val="10"/>
        <rFont val="Times New Roman"/>
        <family val="1"/>
        <charset val="204"/>
      </rPr>
      <t xml:space="preserve"> (81,0 тыс.руб. + 34,6 тыс.руб. =115,6 тыс.руб.).</t>
    </r>
  </si>
  <si>
    <r>
      <t xml:space="preserve">2) Амортизационные отчисления общехозяйственного назначения составляют </t>
    </r>
    <r>
      <rPr>
        <b/>
        <sz val="10"/>
        <rFont val="Times New Roman"/>
        <family val="1"/>
        <charset val="204"/>
      </rPr>
      <t>34,6тыс.руб.</t>
    </r>
    <r>
      <rPr>
        <sz val="10"/>
        <rFont val="Times New Roman"/>
        <family val="1"/>
        <charset val="204"/>
      </rPr>
      <t xml:space="preserve"> (0,02% от амортизационных отчислений общехозяйственного назначения).</t>
    </r>
  </si>
  <si>
    <t>Справочно: расчетная величина налога на прибыль за 2016 год в целом по предприятию составила 520866,689 тыс.руб. (согласно НД стр.343 дела).</t>
  </si>
  <si>
    <t>Налог на имущество рассчитан как 2,2% от среднегодовой остаточной стоимости.</t>
  </si>
  <si>
    <t>Среднегодовая остаточная стоимость ОС участка электроснабжения за 2018 год составила 5 529 291,0 руб. (стр.291 дела).</t>
  </si>
  <si>
    <t>Налог на имущество по ОС участка электроснабжения на 2018 год составит 5529291,0х2,2%/1000 = 121644руб.</t>
  </si>
  <si>
    <t>Налог на имущество по линиям электропередач и подстанциям, отнесенный на потребителя на 2018 год составит 121644руб.х9,51%=11,6тыс.руб.</t>
  </si>
  <si>
    <t>Налог на имущество по ОС общехозяйственного назначения, отнесенный на участк передачи эл.энергии потребителям составит 7,1тыс.руб.</t>
  </si>
  <si>
    <t>Налог на имущество на 2018 г. запланирован на уровне утвержденного на 2017 г. , т.к. помимо уменьшения остаточной стоимости ОС вследствие списания амортизации, на организации проводятся реконструкция и модернизация оборудования участка электроснабжения, что увеличивает остаточную стоимость объектов.</t>
  </si>
  <si>
    <t>Итого налог на имущество составит 11,6 тыс.руб. + 7,1 тыс.руб. = 18,7тыс.руб.</t>
  </si>
  <si>
    <t>Справочно: согласно НД (стр.365 дела) сумма налога, подлежащая уплпте в бюджет составляет 4485,373тыс.руб.</t>
  </si>
  <si>
    <t xml:space="preserve">Расшифровка и обоснование по статьям затрат </t>
  </si>
  <si>
    <r>
      <t>1) Оплата труда основных производственных рабочих  -</t>
    </r>
    <r>
      <rPr>
        <b/>
        <sz val="10"/>
        <rFont val="Times New Roman"/>
        <family val="1"/>
        <charset val="204"/>
      </rPr>
      <t xml:space="preserve"> 5643,2 тыс.руб.</t>
    </r>
    <r>
      <rPr>
        <sz val="10"/>
        <rFont val="Times New Roman"/>
        <family val="1"/>
        <charset val="204"/>
      </rPr>
      <t xml:space="preserve"> ФОТ 13 чел. в доле от 124 чел. (стр.112дела), согласно выписки из штатного расписания от 01.01.2017 г.(стр.116-124 дела) пропорционально отпуску эл.эн. потребителям. Расчет произведен отдельно по пром.площадке и по участку ПСХ, по ДОЛ "Космос" (стр.113-115дела);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</si>
  <si>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2) Оплата труда цехового персонала (РСС + всп.раб.), относящегося на передачу эл.энергии - </t>
    </r>
    <r>
      <rPr>
        <b/>
        <sz val="10"/>
        <rFont val="Times New Roman"/>
        <family val="1"/>
        <charset val="204"/>
      </rPr>
      <t xml:space="preserve">2128,1тыс.руб. </t>
    </r>
    <r>
      <rPr>
        <sz val="10"/>
        <rFont val="Times New Roman"/>
        <family val="1"/>
        <charset val="204"/>
      </rPr>
      <t xml:space="preserve">ФОТ 6-и чел. в доле от 57 чел. пропорционально отпуску эл.эн.потребителям согласно выписки из штатного расписания от 01.01.2017 г. Расчет произведен отдельно по пром.площадке, по участку ПСХ, по ДОЛ "Космос" (стр.113-115 дела);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</si>
  <si>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Итого ФОТ на 2018 год  19 чел. составит 5643,2тыс.руб.+2128,1тыс.руб.=7771,3тыс.руб.</t>
  </si>
  <si>
    <t>Среднемесячная заработная плата на 2018 г. составляет 7771,3тыс.руб. /19 чел./12мес. = 34,085тыс.руб.</t>
  </si>
  <si>
    <t>фактическая среднемесячная заработная за 2016 г. по участку передачи эл.энергии потребителям (форма 5) составила 33,320тыс.руб.</t>
  </si>
  <si>
    <t>Справочно: 1) фактическая средняя заработная плата за декабрь 2016 г. в целом по предприятию (форма П-4) составила 770276,9тыс.руб./18594чел.=41,426тыс.руб.</t>
  </si>
  <si>
    <r>
      <t xml:space="preserve"> </t>
    </r>
    <r>
      <rPr>
        <b/>
        <sz val="10"/>
        <rFont val="Times New Roman"/>
        <family val="1"/>
        <charset val="204"/>
      </rPr>
      <t xml:space="preserve">Услуги сторонних организаций на 2018 год запланированы от утвержденных на 2017 год с Кинд.=0,876 </t>
    </r>
    <r>
      <rPr>
        <sz val="10"/>
        <rFont val="Times New Roman"/>
        <family val="1"/>
        <charset val="204"/>
      </rPr>
      <t xml:space="preserve">(340,3 тыс.руб. х 0,876 = 298,1тыс.руб.). </t>
    </r>
  </si>
  <si>
    <t xml:space="preserve"> - Измерение показателей качества эл.энергии для сертификации 24,3 тыс.руб. (72,8т.р./3 = 24,3т.р.)</t>
  </si>
  <si>
    <t>1. Согласно раздела III пункта 28 подпункта 9 ПП РФ 1178 от 29.12.2011 с изм. Мероприятия по измерению и сертификации качества эл.энергии (п.1-4 таблицы)  включаются в состав НВВ ТСО.</t>
  </si>
  <si>
    <t xml:space="preserve"> - Проверка пакета документации, предъявляемого для сертификации качества эл.энергии в сертификационный орган  13,3тыс.руб. (40т.р. / 3 = 13,3 т.р.)</t>
  </si>
  <si>
    <t xml:space="preserve"> - Проведение контрольных испытаний качества электрической энергии 128,0тыс.руб. (384,1тыс.руб./3 = 128,0тыс.руб.)</t>
  </si>
  <si>
    <t xml:space="preserve">Реестр договоров и платежных поручений, подтверждающих затраты по сертификации  эл.энергии, поставляемой потребителям </t>
  </si>
  <si>
    <t>за 2014г.</t>
  </si>
  <si>
    <t xml:space="preserve"> - Проведение обязательной сертификации электрической энергии, отпускаемой потребителям от центров питания на соответствие требованиям ГОСТ Р-13109-97 50,9тыс.руб. (152,8т.р. / 3 = 50,9т.р.)</t>
  </si>
  <si>
    <t xml:space="preserve">Зптраты на проведение сертификации на 2018 год составляют 216,5 тыс.руб.: </t>
  </si>
  <si>
    <r>
      <t xml:space="preserve">2) Ежегодное медицинское освидетельствование электротехнического персонала </t>
    </r>
    <r>
      <rPr>
        <b/>
        <sz val="10"/>
        <rFont val="Times New Roman"/>
        <family val="1"/>
        <charset val="204"/>
      </rPr>
      <t>143,8 тыс.руб.</t>
    </r>
    <r>
      <rPr>
        <sz val="10"/>
        <rFont val="Times New Roman"/>
        <family val="1"/>
        <charset val="204"/>
      </rPr>
      <t>;</t>
    </r>
  </si>
  <si>
    <r>
      <t>4) Расходы на стандарты раскрытия информации организации, осуществляющей регулируемые виды деятельности (публикация в газете Волжская коммуна  бухгалтерской отчетности) -</t>
    </r>
    <r>
      <rPr>
        <b/>
        <sz val="10"/>
        <rFont val="Times New Roman"/>
        <family val="1"/>
        <charset val="204"/>
      </rPr>
      <t xml:space="preserve"> 20,0 тыс.руб.</t>
    </r>
  </si>
  <si>
    <t xml:space="preserve">3) Экспертиза технологических потерь электрической энергии, расчет и обоснование тарифов на услуги по передаче электроэнергии </t>
  </si>
  <si>
    <r>
      <t xml:space="preserve">2) </t>
    </r>
    <r>
      <rPr>
        <b/>
        <sz val="10"/>
        <rFont val="Times New Roman"/>
        <family val="1"/>
        <charset val="204"/>
      </rPr>
      <t xml:space="preserve">Обучение специалистов </t>
    </r>
    <r>
      <rPr>
        <sz val="10"/>
        <rFont val="Times New Roman"/>
        <family val="1"/>
        <charset val="204"/>
      </rPr>
      <t xml:space="preserve">правилам и нормам безопасной эксплуатации электроустановок - </t>
    </r>
    <r>
      <rPr>
        <b/>
        <sz val="10"/>
        <rFont val="Times New Roman"/>
        <family val="1"/>
        <charset val="204"/>
      </rPr>
      <t>35,0тыс.руб.;</t>
    </r>
  </si>
  <si>
    <t>Итоого подконтрольные расходы</t>
  </si>
  <si>
    <r>
      <t>1)</t>
    </r>
    <r>
      <rPr>
        <b/>
        <sz val="10"/>
        <rFont val="Times New Roman"/>
        <family val="1"/>
        <charset val="204"/>
      </rPr>
      <t xml:space="preserve"> Затраты на проведение обязательной сертификации электрической энергии</t>
    </r>
    <r>
      <rPr>
        <sz val="10"/>
        <rFont val="Times New Roman"/>
        <family val="1"/>
        <charset val="204"/>
      </rPr>
      <t xml:space="preserve">, отпускаемой потребителям запланированы </t>
    </r>
    <r>
      <rPr>
        <i/>
        <sz val="10"/>
        <rFont val="Times New Roman"/>
        <family val="1"/>
        <charset val="204"/>
      </rPr>
      <t>по факту 2014 г.с разбивкой на 3 года 2017-2019гг. (</t>
    </r>
    <r>
      <rPr>
        <sz val="10"/>
        <rFont val="Times New Roman"/>
        <family val="1"/>
        <charset val="204"/>
      </rPr>
      <t>срок действия сертификата соответствия 3 года с 25.12.2014 по 25.12.2017 - стр.137 дела, затраты на проведения сертификации произведены в 2014 г., реестр договоров, подтверждающих затраты в 2014 г. прилагается, договора на измерение показателей качества эл.энергии, проведение сертификации эл.энергии (4 шт.) были представлены в деле по расчету НВВ на 2015 г. в пакете доп.док. стр.367-375):</t>
    </r>
  </si>
  <si>
    <r>
      <rPr>
        <b/>
        <sz val="10"/>
        <rFont val="Times New Roman"/>
        <family val="1"/>
        <charset val="204"/>
      </rPr>
      <t xml:space="preserve">Планируемые затраты материалов по передаче эл.энергии на 2018 год </t>
    </r>
    <r>
      <rPr>
        <sz val="10"/>
        <rFont val="Times New Roman"/>
        <family val="1"/>
        <charset val="204"/>
      </rPr>
      <t xml:space="preserve">с учетом коэффициентов индексации составят 0,14581 руб./Квтч х 14635,4 тыс.кВтч х 1,00296 х 0,876 = </t>
    </r>
    <r>
      <rPr>
        <b/>
        <sz val="10"/>
        <rFont val="Times New Roman"/>
        <family val="1"/>
        <charset val="204"/>
      </rPr>
      <t>1924,7тыс.руб.</t>
    </r>
  </si>
  <si>
    <t>факт 2017г.</t>
  </si>
  <si>
    <t>проч.</t>
  </si>
  <si>
    <t>нас.</t>
  </si>
  <si>
    <t xml:space="preserve">в т.ч. </t>
  </si>
  <si>
    <t>нас.электро</t>
  </si>
  <si>
    <t>проч.нас.</t>
  </si>
  <si>
    <t>ГСК</t>
  </si>
  <si>
    <t>Остаточная стоимость         на 01.01.19г.</t>
  </si>
  <si>
    <t>Амортиза ция на 2019год, руб.</t>
  </si>
  <si>
    <t>Остаточная стоимость         на 01.01.20г.</t>
  </si>
  <si>
    <r>
      <t xml:space="preserve">Норма аморти- зации 2019г.,               </t>
    </r>
    <r>
      <rPr>
        <b/>
        <sz val="11"/>
        <rFont val="Times New Roman"/>
        <family val="1"/>
        <charset val="204"/>
      </rPr>
      <t>%</t>
    </r>
  </si>
  <si>
    <t>Работы по демонтажу контактора РПН (с установкой временных перемычек) силового трансформатора ТРДЦН-63000/220/10/10 Т-1 на ГПП цеха 2426</t>
  </si>
  <si>
    <t>ООО "Самараэлектрореммонтажналадка"</t>
  </si>
  <si>
    <t>Договор подряда №39-17 от 06.10.2017, смета, справка о стоимости работ, АВР, платежное поручение</t>
  </si>
  <si>
    <t>Расчет установок релейной защиты ТП "Зубчаниновская" 220/10/10 кВ на стороне 220 кВ</t>
  </si>
  <si>
    <t>ООО "ТПО-НЕФТЕПРОМ"</t>
  </si>
  <si>
    <t xml:space="preserve"> (согласно п.7 Предписания № 10-412-09-13-413-В от 27.09.2013 г. Средне-Поволжского управления Ростехнадзора - стр.391-393 дела вх.№ 565/Р от 30.04.2014г.)</t>
  </si>
  <si>
    <t>Договор подряда №01/11-2017 от 01.11.2017, АВР, платежное поручение</t>
  </si>
  <si>
    <t>Проведение  сертификации электрической энергии, включая проведение сертификационных испытаний в центрах питания (распределительных  электрических сетей) на соответствие требованиям ГОСТ 32144-2013</t>
  </si>
  <si>
    <t>Договор №5-18 от 25.01.2018</t>
  </si>
  <si>
    <t>Ремонт рабочих СИ (ремонт генератора трассоискателя "Сталкер" ГТ-75)</t>
  </si>
  <si>
    <t>ФБУ "Самарский ЦСМ"</t>
  </si>
  <si>
    <t>АВР, платежное поручение</t>
  </si>
  <si>
    <t>Ремонтные работы сезонных испытаний и доливки трансформаторного масла в силовые трансформаторы  ТРДЦН-63000/220/10/10 Т-1 и ТРДЦН-63000/220/10/10 Т-2 на ГПП цеха 2426</t>
  </si>
  <si>
    <r>
      <t>Договор подряда № 46-17 от 29.11.2017 г.</t>
    </r>
    <r>
      <rPr>
        <b/>
        <i/>
        <sz val="10"/>
        <rFont val="Arial"/>
        <family val="2"/>
        <charset val="204"/>
      </rPr>
      <t xml:space="preserve"> (согласно п.11 Предписания № 08-412-08-16-330-В от 19.08.2016 г. Средне-Поволжского управления Ростехнадзора - стр._________ дела)</t>
    </r>
  </si>
  <si>
    <t>Капитальный ремонт кабельной сети 10кВ  от ГПП 110/10 "АВИС" до РУ-30,3В, 22</t>
  </si>
  <si>
    <t>ООО "Самрский Электропроект"</t>
  </si>
  <si>
    <t>Договор № 1038 от 19.10.2017г., смета</t>
  </si>
  <si>
    <t>Сумма 2018 г.,     без НДС</t>
  </si>
  <si>
    <t>на передачу электрической энергии сторонним потребителям АО «РКЦ «Прогресс» на 2017-2018гг.</t>
  </si>
  <si>
    <t>Ремонт вакуумного выключателя ВВ/TEL цех 2426</t>
  </si>
  <si>
    <t>Договор подряда № 23-17 от 06.07.2017 г., акт вып.раб., сравка о стоимости вып.раб. и затрат, платежное поручение</t>
  </si>
  <si>
    <t>Разработка и выдача ТУ на пересечение кабельными линиями 10кВ в район Заводское шоссе,83 г. Самара железнодорожных путей необщего пользования № I и № II станция Самарка АО Самарского регионального транспортного комплекса</t>
  </si>
  <si>
    <t>ООО "ВолгаУралТранс"</t>
  </si>
  <si>
    <t>Договор №12 от 30.08.2017, акт вып.раб., платежное поручение</t>
  </si>
  <si>
    <t>Поставка оборудования "Шкафы УПК-Ц-16Пд-Вч с одним передатчиком для модернизации устройств передачи аварийных сигналов и команд (УПАСК)</t>
  </si>
  <si>
    <t>ООО "Прософт- Системы"</t>
  </si>
  <si>
    <t>Договор №17-35041 от 16.01.2017, платежные поручения</t>
  </si>
  <si>
    <t>Испытания трансформаторного масла в силовом трансформаторе ТРДЦН-63000/220/10/10 Т-1 на ГПП цеха 2426</t>
  </si>
  <si>
    <t>Расчет НВВ на осуществление деятельности услуг по передаче электрической энергии</t>
  </si>
  <si>
    <t>Договора № 51/17 от 03.02.2017</t>
  </si>
  <si>
    <t xml:space="preserve">Работы по капитальному ремонту электрического отопления и ремонту кабелей КРУ-26 </t>
  </si>
  <si>
    <t>Договор подряда № 42-16 ОТ 05.12.2016 г., справка о стоимости вып.работ и затрат АВР</t>
  </si>
  <si>
    <t>Испытания силового трансформатора ТРДЦН-63000/220/10/10 Т-1 на ГПП цеха 2426</t>
  </si>
  <si>
    <r>
      <t>Договор подряда № 34-17 от 18.09.2017 г., смета, АВР, платежное поручение</t>
    </r>
    <r>
      <rPr>
        <b/>
        <i/>
        <sz val="10"/>
        <rFont val="Arial"/>
        <family val="2"/>
        <charset val="204"/>
      </rPr>
      <t xml:space="preserve"> (согласно п.11 Предписания № 08-412-08-16-330-В от 19.08.2016 г. Средне-Поволжского управления Ростехнадзора - стр._________ дела)</t>
    </r>
  </si>
  <si>
    <r>
      <t>Договор подряда № 38-17 от 28.09.2017 г., смета, справка о стомости вып.раб.и затрат, АВР, платежное поручение</t>
    </r>
    <r>
      <rPr>
        <b/>
        <i/>
        <sz val="10"/>
        <rFont val="Arial"/>
        <family val="2"/>
        <charset val="204"/>
      </rPr>
      <t xml:space="preserve"> (согласно п.5,6,8 Предписания № 08-412-08-16-330-В от 19.08.2016 г. Средне-Поволжского управления Ростехнадзора - стр._________ дела)</t>
    </r>
  </si>
  <si>
    <t xml:space="preserve">2018 г. затраты на потребителя                                        </t>
  </si>
  <si>
    <t>Проведение инспекционного контроля за сертифицированной эл.энергией, включая измерение показателей качества эл.энергии для инспекционного контроля, в центрах питания (распределительных электрических сетях)</t>
  </si>
  <si>
    <t>Договор №000081477 о 31.01.2017г., сметы, АВР</t>
  </si>
  <si>
    <t xml:space="preserve">Увеличение балансовой стоимости на 01.01.2018г. произошло в связи с проведением на объекте инв.№ 550165 работ  по реконструкции (акт о приемке вып.рабо КС-2 и </t>
  </si>
  <si>
    <t>акт о приемереконструированных объектов основных средств ОС-3 прилагается) - стр.______ дела.</t>
  </si>
  <si>
    <t>АО "РКЦ "Прогресс" на 2020 год</t>
  </si>
  <si>
    <t>2020 ГОД</t>
  </si>
  <si>
    <t>ФСК заявка</t>
  </si>
  <si>
    <t>Структура полезного отпуска электрической энергии (мощности) на 2020 год</t>
  </si>
  <si>
    <t>сн2</t>
  </si>
  <si>
    <t>на 2019 -2020гг.</t>
  </si>
  <si>
    <t>Балансовая стоимость                на 01.01.2019г.</t>
  </si>
  <si>
    <t>Амортизация за январь 2019г.</t>
  </si>
  <si>
    <t>Амортиза ция на 2020год, руб.</t>
  </si>
  <si>
    <t>Остаточная стоимость         на 01.01.21г.</t>
  </si>
  <si>
    <r>
      <t xml:space="preserve">Норма аморти- зации 2020г.,               </t>
    </r>
    <r>
      <rPr>
        <b/>
        <sz val="11"/>
        <rFont val="Times New Roman"/>
        <family val="1"/>
        <charset val="204"/>
      </rPr>
      <t>%</t>
    </r>
  </si>
  <si>
    <r>
      <t xml:space="preserve">Собственное потребление </t>
    </r>
    <r>
      <rPr>
        <sz val="10"/>
        <rFont val="Times New Roman"/>
        <family val="1"/>
        <charset val="204"/>
      </rPr>
      <t>(за минусом потерь на передачу эл.эн.сторонним потребителям)</t>
    </r>
  </si>
  <si>
    <t xml:space="preserve">По данным формы 5 "Отчет о доходах и расходах ТСО… "за 20187 год затраты по статье "Работы и услуги производственного характера" отнесены на потребителя отнесены на передачу эл.энергии сторонним потребителям </t>
  </si>
  <si>
    <t>пропорционально объемам передачи в тыс.кВтч в 2018 г. и составили 5 021,99 тыс.руб.</t>
  </si>
  <si>
    <t xml:space="preserve">Доля затрат на потребителя за 2018 год составила </t>
  </si>
  <si>
    <t>Доля затрат на потребителя на 2020 год составила (22951,354тыс.кВтч / 1612237,117 тыс.кВтч%)=</t>
  </si>
  <si>
    <r>
      <rPr>
        <b/>
        <sz val="10"/>
        <rFont val="Arial"/>
        <family val="2"/>
        <charset val="204"/>
      </rPr>
      <t xml:space="preserve">На 2020 год </t>
    </r>
    <r>
      <rPr>
        <sz val="10"/>
        <rFont val="Arial"/>
        <family val="2"/>
        <charset val="204"/>
      </rPr>
      <t xml:space="preserve">затраты по статье "Работы и услуги производственного характера" по участку передачи эл.энергии потребителям запланированы с Кинд.к 2018 г. =1,0355 Ии Кинд.к 2020 г.=1,0237 и составят  = 916,843х1,0355х1,0237 = </t>
    </r>
    <r>
      <rPr>
        <b/>
        <sz val="10"/>
        <rFont val="Arial"/>
        <family val="2"/>
        <charset val="204"/>
      </rPr>
      <t>971,9 тыс.руб.</t>
    </r>
  </si>
  <si>
    <t>На передачу эл.энергии субабонентам  принимается численность: рабочих в количестве 14 чел.; РСС + вспомог.раб. -7 чел.</t>
  </si>
  <si>
    <t>Примечание: * -  указать дату и № действующего договора оказания услуг по передаче электрической энергии</t>
  </si>
  <si>
    <t xml:space="preserve">                        ***-  действующие договора энергоснабжения № 58 от 01.01.2013г. </t>
  </si>
  <si>
    <t>Руководитель энергосбытовой организации ООО "НК-Энергосбыт"</t>
  </si>
  <si>
    <t>___________________________</t>
  </si>
  <si>
    <t>Примечание: * -  действующий договор оказания услуг по передаче электрической энергии № 3 от 31.12.2014г.;</t>
  </si>
  <si>
    <t xml:space="preserve">                        ***-  действующие договора энергоснабжения № 20-1001э от 01.01.2013г. , № 20-1001к от 01.01.2013г..</t>
  </si>
  <si>
    <t>___________________________С. В. Тюлевин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</si>
</sst>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0"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"/>
    <numFmt numFmtId="165" formatCode="0.000000"/>
    <numFmt numFmtId="166" formatCode="0.00000"/>
    <numFmt numFmtId="167" formatCode="0.0000"/>
    <numFmt numFmtId="168" formatCode="0.000"/>
    <numFmt numFmtId="169" formatCode="#,##0.000"/>
    <numFmt numFmtId="170" formatCode="#,##0.0"/>
    <numFmt numFmtId="171" formatCode="#,##0.0000"/>
    <numFmt numFmtId="172" formatCode="0.0%"/>
    <numFmt numFmtId="173" formatCode="[=0]&quot; --&quot;;#,##0.0"/>
    <numFmt numFmtId="174" formatCode="0.000%"/>
    <numFmt numFmtId="175" formatCode="#,##0.000000"/>
    <numFmt numFmtId="176" formatCode="_-* #,##0.00\ _?_._-;\-* #,##0.00\ _?_._-;_-* &quot;-&quot;??\ _?_._-;_-@_-"/>
    <numFmt numFmtId="177" formatCode="_-* #,##0\ &quot;руб&quot;_-;\-* #,##0\ &quot;руб&quot;_-;_-* &quot;-&quot;\ &quot;руб&quot;_-;_-@_-"/>
    <numFmt numFmtId="178" formatCode="000"/>
    <numFmt numFmtId="179" formatCode="_-* #,##0.0_р_._-;\-* #,##0.0_р_._-;_-* &quot;-&quot;?_р_._-;_-@_-"/>
    <numFmt numFmtId="180" formatCode="_-* #,##0.00[$€-1]_-;\-* #,##0.00[$€-1]_-;_-* &quot;-&quot;??[$€-1]_-"/>
    <numFmt numFmtId="181" formatCode="_-* #,##0.00_-;\-* #,##0.00_-;_-* &quot;-&quot;??_-;_-@_-"/>
    <numFmt numFmtId="182" formatCode="_-* #,##0\ _d_._-;\-* #,##0\ _d_._-;_-* &quot;-&quot;\ _d_._-;_-@_-"/>
    <numFmt numFmtId="183" formatCode="_-* #,##0.00\ _d_._-;\-* #,##0.00\ _d_._-;_-* &quot;-&quot;??\ _d_._-;_-@_-"/>
    <numFmt numFmtId="184" formatCode="_-* #,##0\ _đ_._-;\-* #,##0\ _đ_._-;_-* &quot;-&quot;\ _đ_._-;_-@_-"/>
    <numFmt numFmtId="185" formatCode="_-* #,##0.00\ _đ_._-;\-* #,##0.00\ _đ_._-;_-* &quot;-&quot;??\ _đ_._-;_-@_-"/>
    <numFmt numFmtId="186" formatCode="_-* #,##0_d_._-;\-* #,##0_d_._-;_-* &quot;-&quot;_d_._-;_-@_-"/>
    <numFmt numFmtId="187" formatCode="_-* #,##0.00_d_._-;\-* #,##0.00_d_._-;_-* &quot;-&quot;??_d_._-;_-@_-"/>
    <numFmt numFmtId="188" formatCode="_-* #,##0.0000\ &quot;р.&quot;_-;\-* #,##0.0000\ &quot;р.&quot;_-;_-* &quot;-&quot;??\ &quot;р.&quot;_-;_-@_-"/>
    <numFmt numFmtId="189" formatCode="_-* #,##0.00000\ &quot;р.&quot;_-;\-* #,##0.00000\ &quot;р.&quot;_-;_-* &quot;-&quot;??\ &quot;р.&quot;_-;_-@_-"/>
    <numFmt numFmtId="190" formatCode="_-* #,##0.00_р_._-;\-* #,##0.00_р_._-;_-* &quot;-&quot;?_р_._-;_-@_-"/>
    <numFmt numFmtId="191" formatCode="_-* #,##0.00_р_._-;\-* #,##0.00_р_._-;_-* &quot;-&quot;_р_._-;_-@_-"/>
    <numFmt numFmtId="192" formatCode="_-* #,##0\ _р_._-;\-* #,##0\ _р_._-;_-* &quot;-&quot;\ _р_._-;_-@_-"/>
    <numFmt numFmtId="193" formatCode="_-* #,##0.00\ _р_._-;\-* #,##0.00\ _р_._-;_-* &quot;-&quot;??\ _р_._-;_-@_-"/>
    <numFmt numFmtId="194" formatCode="[=0]&quot; --&quot;;#,##0.00"/>
    <numFmt numFmtId="195" formatCode="[=0]&quot; --&quot;;#,##0.000"/>
    <numFmt numFmtId="196" formatCode="[=0]&quot; --&quot;;#,##0.0000"/>
    <numFmt numFmtId="197" formatCode="[=0]&quot; --&quot;;#,##0.00000"/>
    <numFmt numFmtId="198" formatCode="[=0]&quot; --&quot;;#,##0.000000"/>
    <numFmt numFmtId="199" formatCode="[=0]&quot; --&quot;;#,##0"/>
    <numFmt numFmtId="200" formatCode="mm/yy"/>
    <numFmt numFmtId="201" formatCode="[$-419]d\ mmm\ yy;@"/>
    <numFmt numFmtId="202" formatCode="#,##0.00000"/>
    <numFmt numFmtId="203" formatCode="0.0%_);\(0.0%\)"/>
    <numFmt numFmtId="204" formatCode="#,##0_);[Red]\(#,##0\)"/>
    <numFmt numFmtId="205" formatCode="#.##0\.00"/>
    <numFmt numFmtId="206" formatCode="#\.00"/>
    <numFmt numFmtId="207" formatCode="#\."/>
    <numFmt numFmtId="208" formatCode="General_)"/>
    <numFmt numFmtId="209" formatCode="_-* #,##0&quot;đ.&quot;_-;\-* #,##0&quot;đ.&quot;_-;_-* &quot;-&quot;&quot;đ.&quot;_-;_-@_-"/>
    <numFmt numFmtId="210" formatCode="_-* #,##0.00&quot;đ.&quot;_-;\-* #,##0.00&quot;đ.&quot;_-;_-* &quot;-&quot;??&quot;đ.&quot;_-;_-@_-"/>
    <numFmt numFmtId="211" formatCode="&quot;$&quot;#,##0_);[Red]\(&quot;$&quot;#,##0\)"/>
    <numFmt numFmtId="212" formatCode="#,##0_);[Blue]\(#,##0\)"/>
    <numFmt numFmtId="213" formatCode="_-* #,##0_đ_._-;\-* #,##0_đ_._-;_-* &quot;-&quot;_đ_._-;_-@_-"/>
    <numFmt numFmtId="214" formatCode="_-* #,##0.00_đ_._-;\-* #,##0.00_đ_._-;_-* &quot;-&quot;??_đ_._-;_-@_-"/>
    <numFmt numFmtId="215" formatCode="_(* #,##0.00_);_(* \(#,##0.00\);_(* &quot;-&quot;??_);_(@_)"/>
    <numFmt numFmtId="216" formatCode="_-* #,##0.000_р_._-;\-* #,##0.000_р_._-;_-* &quot;-&quot;??_р_._-;_-@_-"/>
    <numFmt numFmtId="217" formatCode="_-* #,##0_р_._-;\-* #,##0_р_._-;_-* &quot;-&quot;??_р_._-;_-@_-"/>
    <numFmt numFmtId="218" formatCode="0.0000000"/>
    <numFmt numFmtId="219" formatCode="_-* #,##0\ &quot;р.&quot;_-;\-* #,##0\ &quot;р.&quot;_-;_-* &quot;-&quot;\ &quot;р.&quot;_-;_-@_-"/>
  </numFmts>
  <fonts count="32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u/>
      <sz val="10"/>
      <color indexed="12"/>
      <name val="Arial Cyr"/>
      <charset val="204"/>
    </font>
    <font>
      <u/>
      <sz val="10"/>
      <color indexed="36"/>
      <name val="Arial Cyr"/>
      <charset val="204"/>
    </font>
    <font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10"/>
      <name val="Times New Roman"/>
      <family val="1"/>
    </font>
    <font>
      <sz val="9"/>
      <name val="Times New Roman"/>
      <family val="1"/>
    </font>
    <font>
      <sz val="10"/>
      <name val="Arial Cyr"/>
      <family val="2"/>
      <charset val="204"/>
    </font>
    <font>
      <sz val="14"/>
      <name val="Times New Roman Cyr"/>
      <charset val="204"/>
    </font>
    <font>
      <sz val="8"/>
      <name val="Arial Cyr"/>
      <charset val="204"/>
    </font>
    <font>
      <sz val="12"/>
      <name val="Times New Roman"/>
      <family val="1"/>
    </font>
    <font>
      <sz val="12"/>
      <name val="Times New Roman Cyr"/>
      <charset val="204"/>
    </font>
    <font>
      <sz val="10"/>
      <name val="Arial CYR"/>
      <charset val="204"/>
    </font>
    <font>
      <b/>
      <sz val="10"/>
      <color indexed="10"/>
      <name val="Times New Roman"/>
      <family val="1"/>
      <charset val="204"/>
    </font>
    <font>
      <u/>
      <sz val="10"/>
      <color indexed="12"/>
      <name val="Arial"/>
      <family val="2"/>
      <charset val="204"/>
    </font>
    <font>
      <u/>
      <sz val="10"/>
      <color indexed="36"/>
      <name val="Arial"/>
      <family val="2"/>
      <charset val="204"/>
    </font>
    <font>
      <sz val="10"/>
      <name val="Helv"/>
      <charset val="204"/>
    </font>
    <font>
      <sz val="10"/>
      <name val="Helv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i/>
      <sz val="10"/>
      <name val="Times New Roman Cyr"/>
      <family val="1"/>
      <charset val="204"/>
    </font>
    <font>
      <sz val="10"/>
      <color indexed="8"/>
      <name val="MS Sans Serif"/>
      <family val="2"/>
      <charset val="204"/>
    </font>
    <font>
      <sz val="10"/>
      <name val="Arial"/>
      <family val="2"/>
      <charset val="204"/>
    </font>
    <font>
      <u/>
      <sz val="7"/>
      <color indexed="36"/>
      <name val="Arial"/>
      <family val="2"/>
      <charset val="204"/>
    </font>
    <font>
      <b/>
      <sz val="12"/>
      <name val="Arial"/>
      <family val="2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u/>
      <sz val="9.6"/>
      <color indexed="12"/>
      <name val="Arial"/>
      <family val="2"/>
      <charset val="204"/>
    </font>
    <font>
      <sz val="10"/>
      <name val="MS Sans Serif"/>
      <family val="2"/>
      <charset val="204"/>
    </font>
    <font>
      <b/>
      <u/>
      <sz val="16"/>
      <name val="Arial"/>
      <family val="2"/>
      <charset val="204"/>
    </font>
    <font>
      <b/>
      <sz val="9"/>
      <name val="Helv"/>
      <charset val="204"/>
    </font>
    <font>
      <b/>
      <sz val="14"/>
      <name val="Helv"/>
      <charset val="204"/>
    </font>
    <font>
      <sz val="8"/>
      <name val="Arial"/>
      <family val="2"/>
      <charset val="204"/>
    </font>
    <font>
      <b/>
      <sz val="20"/>
      <name val="Times New Roman"/>
      <family val="1"/>
      <charset val="204"/>
    </font>
    <font>
      <b/>
      <sz val="8"/>
      <name val="Palatino"/>
      <family val="1"/>
      <charset val="204"/>
    </font>
    <font>
      <b/>
      <sz val="14"/>
      <name val="Times New Roman"/>
      <family val="1"/>
      <charset val="204"/>
    </font>
    <font>
      <sz val="10"/>
      <name val="Times New Roman CYR"/>
      <charset val="204"/>
    </font>
    <font>
      <i/>
      <sz val="12"/>
      <name val="Albertus Extra Bold Cyr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</font>
    <font>
      <sz val="11"/>
      <name val="Times New Roman"/>
      <family val="1"/>
      <charset val="204"/>
    </font>
    <font>
      <u/>
      <sz val="10"/>
      <color indexed="12"/>
      <name val="Times New Roman Cyr"/>
      <charset val="204"/>
    </font>
    <font>
      <sz val="8"/>
      <name val="Times New Roman"/>
      <family val="1"/>
    </font>
    <font>
      <b/>
      <sz val="9"/>
      <name val="Times New Roman"/>
      <family val="1"/>
      <charset val="204"/>
    </font>
    <font>
      <b/>
      <sz val="8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4"/>
      <name val="Garamond"/>
      <family val="1"/>
      <charset val="204"/>
    </font>
    <font>
      <i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 Cyr"/>
      <charset val="204"/>
    </font>
    <font>
      <sz val="12"/>
      <name val="Times New Roman Cyr"/>
      <family val="1"/>
      <charset val="204"/>
    </font>
    <font>
      <b/>
      <sz val="10"/>
      <name val="Times New Roman CYR"/>
      <charset val="204"/>
    </font>
    <font>
      <b/>
      <sz val="14"/>
      <name val="Times New Roman Cyr"/>
      <family val="1"/>
      <charset val="204"/>
    </font>
    <font>
      <b/>
      <sz val="11"/>
      <name val="Times New Roman Cyr"/>
      <charset val="204"/>
    </font>
    <font>
      <sz val="10.5"/>
      <name val="Times New Roman CYR"/>
      <charset val="204"/>
    </font>
    <font>
      <b/>
      <sz val="10"/>
      <name val="Arial CYR"/>
      <charset val="204"/>
    </font>
    <font>
      <b/>
      <sz val="12"/>
      <name val="Garamond"/>
      <family val="1"/>
      <charset val="204"/>
    </font>
    <font>
      <b/>
      <sz val="13"/>
      <name val="Times New Roman"/>
      <family val="1"/>
      <charset val="204"/>
    </font>
    <font>
      <b/>
      <sz val="10"/>
      <color indexed="12"/>
      <name val="Times New Roman CYR"/>
      <charset val="204"/>
    </font>
    <font>
      <b/>
      <sz val="8"/>
      <color indexed="9"/>
      <name val="Times New Roman"/>
      <family val="1"/>
      <charset val="204"/>
    </font>
    <font>
      <sz val="10"/>
      <color indexed="9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sz val="10"/>
      <color indexed="10"/>
      <name val="Times New Roman CYR"/>
      <charset val="204"/>
    </font>
    <font>
      <sz val="8"/>
      <color indexed="10"/>
      <name val="Times New Roman"/>
      <family val="1"/>
      <charset val="204"/>
    </font>
    <font>
      <b/>
      <sz val="8"/>
      <color indexed="10"/>
      <name val="Times New Roman"/>
      <family val="1"/>
      <charset val="204"/>
    </font>
    <font>
      <i/>
      <sz val="10.5"/>
      <name val="Times New Roman"/>
      <family val="1"/>
      <charset val="204"/>
    </font>
    <font>
      <vertAlign val="subscript"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2"/>
      <color indexed="9"/>
      <name val="Times New Roman"/>
      <family val="1"/>
      <charset val="204"/>
    </font>
    <font>
      <i/>
      <sz val="11"/>
      <name val="Times New Roman"/>
      <family val="1"/>
      <charset val="204"/>
    </font>
    <font>
      <sz val="10.5"/>
      <name val="Times New Roman"/>
      <family val="1"/>
      <charset val="204"/>
    </font>
    <font>
      <b/>
      <i/>
      <sz val="10"/>
      <color indexed="10"/>
      <name val="Times New Roman"/>
      <family val="1"/>
      <charset val="204"/>
    </font>
    <font>
      <b/>
      <i/>
      <sz val="11"/>
      <name val="Times New Roman Cyr"/>
      <charset val="204"/>
    </font>
    <font>
      <b/>
      <sz val="8"/>
      <name val="Arial Cyr"/>
      <charset val="204"/>
    </font>
    <font>
      <b/>
      <vertAlign val="superscript"/>
      <sz val="11"/>
      <name val="Times New Roman"/>
      <family val="1"/>
      <charset val="204"/>
    </font>
    <font>
      <b/>
      <vertAlign val="superscript"/>
      <sz val="10"/>
      <color indexed="56"/>
      <name val="Times New Roman"/>
      <family val="1"/>
      <charset val="204"/>
    </font>
    <font>
      <b/>
      <sz val="10"/>
      <color indexed="56"/>
      <name val="Times New Roman"/>
      <family val="1"/>
      <charset val="204"/>
    </font>
    <font>
      <b/>
      <sz val="11"/>
      <color indexed="56"/>
      <name val="Times New Roman"/>
      <family val="1"/>
      <charset val="204"/>
    </font>
    <font>
      <b/>
      <vertAlign val="superscript"/>
      <sz val="11"/>
      <color indexed="56"/>
      <name val="Times New Roman"/>
      <family val="1"/>
      <charset val="204"/>
    </font>
    <font>
      <b/>
      <vertAlign val="superscript"/>
      <sz val="10"/>
      <color indexed="9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vertAlign val="superscript"/>
      <sz val="9"/>
      <color indexed="10"/>
      <name val="Times New Roman"/>
      <family val="1"/>
      <charset val="204"/>
    </font>
    <font>
      <b/>
      <i/>
      <u/>
      <sz val="10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4"/>
      <name val="Times New Roman"/>
      <family val="1"/>
    </font>
    <font>
      <sz val="10"/>
      <name val="Times New Roman CYR"/>
      <family val="1"/>
      <charset val="204"/>
    </font>
    <font>
      <sz val="10"/>
      <color indexed="8"/>
      <name val="Times New Roman"/>
      <family val="1"/>
      <charset val="204"/>
    </font>
    <font>
      <b/>
      <sz val="16"/>
      <name val="Times New Roman"/>
      <family val="1"/>
    </font>
    <font>
      <sz val="11"/>
      <name val="Arial Cyr"/>
      <charset val="204"/>
    </font>
    <font>
      <b/>
      <i/>
      <sz val="10"/>
      <name val="Times New Roman Cyr"/>
      <charset val="204"/>
    </font>
    <font>
      <sz val="11"/>
      <color indexed="56"/>
      <name val="Times New Roman CYR"/>
      <charset val="204"/>
    </font>
    <font>
      <vertAlign val="subscript"/>
      <sz val="11"/>
      <name val="Times New Roman"/>
      <family val="1"/>
      <charset val="204"/>
    </font>
    <font>
      <sz val="12"/>
      <name val="Arial Cyr"/>
      <charset val="204"/>
    </font>
    <font>
      <b/>
      <sz val="14"/>
      <name val="Franklin Gothic Medium"/>
      <family val="2"/>
      <charset val="204"/>
    </font>
    <font>
      <b/>
      <sz val="9"/>
      <name val="Tahoma"/>
      <family val="2"/>
      <charset val="204"/>
    </font>
    <font>
      <sz val="9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2"/>
      <name val="Arial Cyr"/>
      <charset val="204"/>
    </font>
    <font>
      <b/>
      <sz val="14"/>
      <name val="Arial Cyr"/>
      <charset val="204"/>
    </font>
    <font>
      <b/>
      <u/>
      <sz val="14"/>
      <name val="Arial Cyr"/>
      <charset val="204"/>
    </font>
    <font>
      <b/>
      <sz val="9"/>
      <name val="Arial Cyr"/>
      <charset val="204"/>
    </font>
    <font>
      <b/>
      <sz val="11"/>
      <name val="Arial Cyr"/>
      <charset val="204"/>
    </font>
    <font>
      <i/>
      <sz val="10"/>
      <name val="Arial Cyr"/>
      <charset val="204"/>
    </font>
    <font>
      <b/>
      <sz val="10"/>
      <name val="Garamond"/>
      <family val="1"/>
      <charset val="204"/>
    </font>
    <font>
      <b/>
      <sz val="13.7"/>
      <name val="Garamond"/>
      <family val="1"/>
      <charset val="204"/>
    </font>
    <font>
      <b/>
      <sz val="11"/>
      <name val="Tahoma"/>
      <family val="2"/>
      <charset val="204"/>
    </font>
    <font>
      <i/>
      <sz val="9"/>
      <name val="Tahoma"/>
      <family val="2"/>
      <charset val="204"/>
    </font>
    <font>
      <b/>
      <sz val="12"/>
      <color indexed="10"/>
      <name val="Arial Cyr"/>
      <charset val="204"/>
    </font>
    <font>
      <b/>
      <sz val="14"/>
      <name val="Arial Cyr"/>
      <family val="2"/>
      <charset val="204"/>
    </font>
    <font>
      <b/>
      <sz val="12"/>
      <name val="Arial Cyr"/>
      <family val="2"/>
      <charset val="204"/>
    </font>
    <font>
      <b/>
      <sz val="11"/>
      <name val="Arial Cyr"/>
      <family val="2"/>
      <charset val="204"/>
    </font>
    <font>
      <sz val="8"/>
      <name val="Arial Cyr"/>
      <family val="2"/>
      <charset val="204"/>
    </font>
    <font>
      <b/>
      <sz val="10"/>
      <name val="Arial Cyr"/>
      <family val="2"/>
      <charset val="204"/>
    </font>
    <font>
      <b/>
      <sz val="11"/>
      <name val="Arial"/>
      <family val="2"/>
      <charset val="204"/>
    </font>
    <font>
      <b/>
      <sz val="11"/>
      <color indexed="10"/>
      <name val="Arial Cyr"/>
      <charset val="204"/>
    </font>
    <font>
      <b/>
      <sz val="10"/>
      <color indexed="60"/>
      <name val="Times New Roman Cyr"/>
      <charset val="204"/>
    </font>
    <font>
      <i/>
      <sz val="11"/>
      <name val="Times New Roman Cyr"/>
      <charset val="204"/>
    </font>
    <font>
      <b/>
      <sz val="14"/>
      <name val="Times New Roman Cyr"/>
      <charset val="204"/>
    </font>
    <font>
      <sz val="12"/>
      <color indexed="10"/>
      <name val="Times New Roman CYR"/>
      <charset val="204"/>
    </font>
    <font>
      <i/>
      <sz val="12"/>
      <name val="Times New Roman Cyr"/>
      <charset val="204"/>
    </font>
    <font>
      <b/>
      <sz val="12"/>
      <name val="Times New Roman Cyr"/>
      <charset val="204"/>
    </font>
    <font>
      <b/>
      <i/>
      <sz val="12"/>
      <name val="Times New Roman Cyr"/>
      <charset val="204"/>
    </font>
    <font>
      <b/>
      <sz val="12"/>
      <color indexed="9"/>
      <name val="Times New Roman"/>
      <family val="1"/>
      <charset val="204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0"/>
      <color indexed="10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b/>
      <i/>
      <sz val="12"/>
      <color indexed="10"/>
      <name val="Times New Roman"/>
      <family val="1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indexed="10"/>
      <name val="Arial"/>
      <family val="2"/>
      <charset val="204"/>
    </font>
    <font>
      <vertAlign val="subscript"/>
      <sz val="14"/>
      <color indexed="8"/>
      <name val="Arial"/>
      <family val="2"/>
      <charset val="204"/>
    </font>
    <font>
      <i/>
      <sz val="11"/>
      <name val="Arial"/>
      <family val="2"/>
      <charset val="204"/>
    </font>
    <font>
      <b/>
      <sz val="11"/>
      <color indexed="10"/>
      <name val="Arial"/>
      <family val="2"/>
      <charset val="204"/>
    </font>
    <font>
      <vertAlign val="superscript"/>
      <sz val="14"/>
      <color indexed="10"/>
      <name val="Arial Cyr"/>
      <charset val="204"/>
    </font>
    <font>
      <vertAlign val="subscript"/>
      <sz val="14"/>
      <color indexed="10"/>
      <name val="Arial Cyr"/>
      <charset val="204"/>
    </font>
    <font>
      <sz val="11"/>
      <color indexed="10"/>
      <name val="Arial Cyr"/>
      <charset val="204"/>
    </font>
    <font>
      <vertAlign val="subscript"/>
      <sz val="11"/>
      <color indexed="10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8"/>
      <color indexed="9"/>
      <name val="Arial Cyr"/>
      <charset val="204"/>
    </font>
    <font>
      <sz val="11"/>
      <color indexed="8"/>
      <name val="Calibri"/>
      <family val="2"/>
      <charset val="204"/>
    </font>
    <font>
      <sz val="10"/>
      <color indexed="10"/>
      <name val="Arial Cyr"/>
      <family val="2"/>
      <charset val="204"/>
    </font>
    <font>
      <b/>
      <sz val="10"/>
      <color indexed="10"/>
      <name val="Times New Roman"/>
      <family val="1"/>
      <charset val="204"/>
    </font>
    <font>
      <b/>
      <sz val="10"/>
      <color indexed="56"/>
      <name val="Times New Roman"/>
      <family val="1"/>
      <charset val="204"/>
    </font>
    <font>
      <sz val="10"/>
      <color indexed="56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b/>
      <sz val="9"/>
      <color indexed="56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0"/>
      <color indexed="9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8"/>
      <color indexed="10"/>
      <name val="Times New Roman"/>
      <family val="1"/>
      <charset val="204"/>
    </font>
    <font>
      <b/>
      <sz val="10"/>
      <color indexed="9"/>
      <name val="Arial Cyr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1"/>
      <color indexed="56"/>
      <name val="Times New Roman"/>
      <family val="1"/>
      <charset val="204"/>
    </font>
    <font>
      <sz val="10"/>
      <color indexed="10"/>
      <name val="Arial Cyr"/>
      <charset val="204"/>
    </font>
    <font>
      <sz val="10"/>
      <color indexed="10"/>
      <name val="Times New Roman"/>
      <family val="1"/>
    </font>
    <font>
      <b/>
      <sz val="9"/>
      <color indexed="10"/>
      <name val="Times New Roman Cyr"/>
      <charset val="204"/>
    </font>
    <font>
      <b/>
      <sz val="9"/>
      <color indexed="56"/>
      <name val="Times New Roman Cyr"/>
      <charset val="204"/>
    </font>
    <font>
      <b/>
      <sz val="11"/>
      <color indexed="56"/>
      <name val="Times New Roman Cyr"/>
      <charset val="204"/>
    </font>
    <font>
      <b/>
      <sz val="10"/>
      <color indexed="56"/>
      <name val="Times New Roman Cyr"/>
      <charset val="204"/>
    </font>
    <font>
      <sz val="8"/>
      <color indexed="10"/>
      <name val="Times New Roman"/>
      <family val="1"/>
      <charset val="204"/>
    </font>
    <font>
      <b/>
      <sz val="10"/>
      <color indexed="10"/>
      <name val="Times New Roman CYR"/>
      <charset val="204"/>
    </font>
    <font>
      <b/>
      <sz val="8"/>
      <color indexed="5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b/>
      <sz val="10"/>
      <color indexed="10"/>
      <name val="Arial Cyr"/>
      <charset val="204"/>
    </font>
    <font>
      <b/>
      <sz val="12"/>
      <color indexed="10"/>
      <name val="Arial Cyr"/>
      <charset val="204"/>
    </font>
    <font>
      <b/>
      <sz val="9"/>
      <color indexed="10"/>
      <name val="Arial Cyr"/>
      <charset val="204"/>
    </font>
    <font>
      <b/>
      <sz val="8"/>
      <color indexed="10"/>
      <name val="Arial Cyr"/>
      <charset val="204"/>
    </font>
    <font>
      <b/>
      <sz val="10"/>
      <color indexed="56"/>
      <name val="Arial Cyr"/>
      <charset val="204"/>
    </font>
    <font>
      <sz val="8"/>
      <color indexed="9"/>
      <name val="Times New Roman"/>
      <family val="1"/>
      <charset val="204"/>
    </font>
    <font>
      <sz val="11"/>
      <color indexed="10"/>
      <name val="Times New Roman"/>
      <family val="1"/>
    </font>
    <font>
      <sz val="11"/>
      <color indexed="9"/>
      <name val="Times New Roman"/>
      <family val="1"/>
    </font>
    <font>
      <sz val="11"/>
      <color indexed="8"/>
      <name val="Times New Roman"/>
      <family val="1"/>
    </font>
    <font>
      <b/>
      <sz val="11"/>
      <color indexed="10"/>
      <name val="Arial Cyr"/>
      <family val="2"/>
      <charset val="204"/>
    </font>
    <font>
      <b/>
      <sz val="11"/>
      <color indexed="9"/>
      <name val="Arial Cyr"/>
      <family val="2"/>
      <charset val="204"/>
    </font>
    <font>
      <i/>
      <sz val="11"/>
      <color indexed="10"/>
      <name val="Times New Roman Cyr"/>
      <charset val="204"/>
    </font>
    <font>
      <sz val="10"/>
      <color indexed="10"/>
      <name val="Times New Roman CYR"/>
      <charset val="204"/>
    </font>
    <font>
      <sz val="12"/>
      <color indexed="10"/>
      <name val="Times New Roman CYR"/>
      <charset val="204"/>
    </font>
    <font>
      <b/>
      <sz val="12"/>
      <color indexed="10"/>
      <name val="Times New Roman Cyr"/>
      <charset val="204"/>
    </font>
    <font>
      <b/>
      <sz val="11"/>
      <color indexed="10"/>
      <name val="Times New Roman Cyr"/>
      <charset val="204"/>
    </font>
    <font>
      <i/>
      <sz val="12"/>
      <color indexed="10"/>
      <name val="Times New Roman Cyr"/>
      <charset val="204"/>
    </font>
    <font>
      <sz val="12"/>
      <color indexed="9"/>
      <name val="Times New Roman Cyr"/>
      <charset val="204"/>
    </font>
    <font>
      <i/>
      <sz val="12"/>
      <color indexed="9"/>
      <name val="Times New Roman Cyr"/>
      <charset val="204"/>
    </font>
    <font>
      <b/>
      <sz val="12"/>
      <color indexed="9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i/>
      <sz val="10"/>
      <color indexed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i/>
      <sz val="10"/>
      <color indexed="10"/>
      <name val="Calibri"/>
      <family val="2"/>
      <charset val="204"/>
    </font>
    <font>
      <b/>
      <u/>
      <sz val="10"/>
      <color indexed="9"/>
      <name val="Times New Roman"/>
      <family val="1"/>
      <charset val="204"/>
    </font>
    <font>
      <b/>
      <i/>
      <sz val="10"/>
      <color indexed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u/>
      <sz val="12"/>
      <color indexed="10"/>
      <name val="Times New Roman"/>
      <family val="1"/>
      <charset val="204"/>
    </font>
    <font>
      <b/>
      <u/>
      <sz val="10"/>
      <color indexed="56"/>
      <name val="Times New Roman"/>
      <family val="1"/>
      <charset val="204"/>
    </font>
    <font>
      <b/>
      <u/>
      <sz val="10"/>
      <color indexed="10"/>
      <name val="Times New Roman"/>
      <family val="1"/>
      <charset val="204"/>
    </font>
    <font>
      <b/>
      <sz val="12"/>
      <color indexed="56"/>
      <name val="Arial Cyr"/>
      <charset val="204"/>
    </font>
    <font>
      <b/>
      <sz val="12"/>
      <color indexed="56"/>
      <name val="Times New Roman"/>
      <family val="1"/>
      <charset val="204"/>
    </font>
    <font>
      <sz val="8"/>
      <color indexed="56"/>
      <name val="Arial Cyr"/>
      <charset val="204"/>
    </font>
    <font>
      <sz val="11"/>
      <color indexed="10"/>
      <name val="Arial"/>
      <family val="2"/>
      <charset val="204"/>
    </font>
    <font>
      <b/>
      <sz val="11"/>
      <color indexed="10"/>
      <name val="Arial"/>
      <family val="2"/>
      <charset val="204"/>
    </font>
    <font>
      <sz val="11"/>
      <color indexed="10"/>
      <name val="Arial Cyr"/>
      <charset val="204"/>
    </font>
    <font>
      <b/>
      <sz val="11"/>
      <color indexed="9"/>
      <name val="Arial Cyr"/>
      <charset val="204"/>
    </font>
    <font>
      <sz val="11"/>
      <color indexed="9"/>
      <name val="Arial"/>
      <family val="2"/>
      <charset val="204"/>
    </font>
    <font>
      <b/>
      <sz val="11"/>
      <color indexed="56"/>
      <name val="Arial"/>
      <family val="2"/>
      <charset val="204"/>
    </font>
    <font>
      <sz val="11"/>
      <color indexed="10"/>
      <name val="Times New Roman"/>
      <family val="1"/>
      <charset val="204"/>
    </font>
    <font>
      <sz val="9"/>
      <color indexed="10"/>
      <name val="Times New Roman"/>
      <family val="1"/>
      <charset val="204"/>
    </font>
    <font>
      <sz val="8"/>
      <color indexed="12"/>
      <name val="Arial"/>
      <family val="2"/>
      <charset val="204"/>
    </font>
    <font>
      <sz val="1"/>
      <color indexed="8"/>
      <name val="Courier"/>
      <family val="1"/>
      <charset val="204"/>
    </font>
    <font>
      <b/>
      <sz val="10"/>
      <color indexed="12"/>
      <name val="Arial Cyr"/>
      <family val="2"/>
      <charset val="204"/>
    </font>
    <font>
      <u/>
      <sz val="8"/>
      <color indexed="12"/>
      <name val="Arial Cyr"/>
      <charset val="204"/>
    </font>
    <font>
      <sz val="18"/>
      <name val="Arial"/>
      <family val="2"/>
      <charset val="204"/>
    </font>
    <font>
      <i/>
      <sz val="12"/>
      <name val="Arial"/>
      <family val="2"/>
      <charset val="204"/>
    </font>
    <font>
      <sz val="12"/>
      <name val="Symbol"/>
      <family val="1"/>
      <charset val="2"/>
    </font>
    <font>
      <sz val="18"/>
      <name val="Symbol"/>
      <family val="1"/>
      <charset val="2"/>
    </font>
    <font>
      <sz val="8"/>
      <name val="Symbol"/>
      <family val="1"/>
      <charset val="2"/>
    </font>
    <font>
      <i/>
      <sz val="12"/>
      <name val="Symbol"/>
      <family val="1"/>
      <charset val="2"/>
    </font>
    <font>
      <b/>
      <sz val="10"/>
      <color indexed="18"/>
      <name val="Arial Cyr"/>
      <charset val="204"/>
    </font>
    <font>
      <sz val="10"/>
      <name val="Courier"/>
      <family val="3"/>
    </font>
    <font>
      <sz val="12"/>
      <name val="Arial"/>
      <family val="2"/>
      <charset val="204"/>
    </font>
    <font>
      <sz val="8"/>
      <name val="Helv"/>
      <charset val="204"/>
    </font>
    <font>
      <sz val="8"/>
      <name val="Helv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6"/>
      <color indexed="23"/>
      <name val="Arial"/>
      <family val="2"/>
      <charset val="204"/>
    </font>
    <font>
      <sz val="10"/>
      <color indexed="10"/>
      <name val="Arial"/>
      <family val="2"/>
    </font>
    <font>
      <b/>
      <u/>
      <sz val="9"/>
      <color indexed="12"/>
      <name val="Tahoma"/>
      <family val="2"/>
      <charset val="204"/>
    </font>
    <font>
      <sz val="10"/>
      <color indexed="64"/>
      <name val="Arial"/>
      <family val="2"/>
      <charset val="204"/>
    </font>
    <font>
      <sz val="10"/>
      <name val="Arial"/>
      <family val="2"/>
    </font>
    <font>
      <sz val="11"/>
      <name val="Times New Roman CYR"/>
      <family val="1"/>
      <charset val="204"/>
    </font>
    <font>
      <sz val="10"/>
      <name val="Arial Cyr"/>
    </font>
    <font>
      <sz val="8"/>
      <color indexed="8"/>
      <name val="Times New Roman"/>
      <family val="1"/>
      <charset val="204"/>
    </font>
    <font>
      <b/>
      <sz val="10"/>
      <name val="Tahoma"/>
      <family val="2"/>
      <charset val="204"/>
    </font>
    <font>
      <b/>
      <sz val="1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u/>
      <sz val="12"/>
      <name val="Arial Cyr"/>
      <family val="2"/>
      <charset val="204"/>
    </font>
    <font>
      <sz val="12"/>
      <name val="Arial Cyr"/>
      <family val="2"/>
      <charset val="204"/>
    </font>
    <font>
      <b/>
      <i/>
      <sz val="11"/>
      <name val="Arial Cyr"/>
      <family val="2"/>
      <charset val="204"/>
    </font>
    <font>
      <i/>
      <sz val="11"/>
      <name val="Arial Cyr"/>
      <family val="2"/>
      <charset val="204"/>
    </font>
    <font>
      <sz val="11"/>
      <name val="Arial Cyr"/>
      <family val="2"/>
      <charset val="204"/>
    </font>
    <font>
      <b/>
      <sz val="10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10"/>
      <color theme="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0"/>
      <color rgb="FFFF0000"/>
      <name val="Arial Cyr"/>
      <charset val="204"/>
    </font>
    <font>
      <sz val="11"/>
      <color rgb="FFFF0000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Arial"/>
      <family val="2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rgb="FFFF0000"/>
      <name val="Times New Roman"/>
      <family val="1"/>
    </font>
    <font>
      <b/>
      <i/>
      <sz val="12"/>
      <color rgb="FFFF0000"/>
      <name val="Times New Roman"/>
      <family val="1"/>
      <charset val="204"/>
    </font>
    <font>
      <i/>
      <sz val="9"/>
      <name val="Arial"/>
      <family val="2"/>
      <charset val="204"/>
    </font>
    <font>
      <b/>
      <sz val="11"/>
      <color rgb="FFFF0000"/>
      <name val="Arial Cyr"/>
      <family val="2"/>
      <charset val="204"/>
    </font>
    <font>
      <b/>
      <sz val="11"/>
      <name val="Garamond"/>
      <family val="1"/>
      <charset val="204"/>
    </font>
    <font>
      <b/>
      <sz val="11"/>
      <color indexed="10"/>
      <name val="Garamond"/>
      <family val="1"/>
      <charset val="204"/>
    </font>
    <font>
      <sz val="11"/>
      <color indexed="12"/>
      <name val="Times New Roman CYR"/>
      <charset val="204"/>
    </font>
    <font>
      <b/>
      <sz val="11"/>
      <color indexed="12"/>
      <name val="Times New Roman CYR"/>
      <charset val="204"/>
    </font>
    <font>
      <b/>
      <sz val="10"/>
      <color theme="3"/>
      <name val="Arial Cyr"/>
      <charset val="204"/>
    </font>
    <font>
      <i/>
      <sz val="10"/>
      <color rgb="FFFF0000"/>
      <name val="Arial Cyr"/>
      <charset val="204"/>
    </font>
    <font>
      <b/>
      <sz val="12"/>
      <color rgb="FFFF0000"/>
      <name val="Arial Cyr"/>
      <charset val="204"/>
    </font>
    <font>
      <sz val="11"/>
      <color rgb="FFFF0000"/>
      <name val="Times New Roman"/>
      <family val="1"/>
      <charset val="204"/>
    </font>
    <font>
      <b/>
      <sz val="8"/>
      <color rgb="FFFF0000"/>
      <name val="Times New Roman Cyr"/>
      <charset val="204"/>
    </font>
    <font>
      <u/>
      <sz val="12"/>
      <name val="Times New Roman"/>
      <family val="1"/>
      <charset val="204"/>
    </font>
    <font>
      <i/>
      <sz val="10"/>
      <color rgb="FFFF0000"/>
      <name val="Arial"/>
      <family val="2"/>
      <charset val="204"/>
    </font>
    <font>
      <b/>
      <i/>
      <sz val="10"/>
      <color rgb="FFFF0000"/>
      <name val="Arial"/>
      <family val="2"/>
      <charset val="204"/>
    </font>
    <font>
      <b/>
      <i/>
      <sz val="10"/>
      <color rgb="FFFF0000"/>
      <name val="Arial Cyr"/>
      <charset val="204"/>
    </font>
    <font>
      <b/>
      <i/>
      <sz val="10"/>
      <color rgb="FFFF0000"/>
      <name val="Times New Roman"/>
      <family val="1"/>
      <charset val="204"/>
    </font>
    <font>
      <sz val="12"/>
      <color theme="0"/>
      <name val="Times New Roman"/>
      <family val="1"/>
      <charset val="204"/>
    </font>
    <font>
      <b/>
      <i/>
      <sz val="10"/>
      <name val="Arial Cyr"/>
      <charset val="204"/>
    </font>
    <font>
      <b/>
      <i/>
      <sz val="11"/>
      <name val="Arial Cyr"/>
      <charset val="204"/>
    </font>
    <font>
      <u/>
      <sz val="12"/>
      <name val="Arial Cyr"/>
      <charset val="204"/>
    </font>
    <font>
      <sz val="14"/>
      <name val="Arial Cyr"/>
      <charset val="204"/>
    </font>
    <font>
      <b/>
      <sz val="10"/>
      <color rgb="FFFF0000"/>
      <name val="Calibri"/>
      <family val="2"/>
      <charset val="204"/>
    </font>
    <font>
      <b/>
      <sz val="11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"/>
      <color indexed="8"/>
      <name val="Courier"/>
      <family val="1"/>
      <charset val="204"/>
    </font>
    <font>
      <sz val="1"/>
      <color indexed="8"/>
      <name val="Courier New"/>
      <family val="3"/>
    </font>
    <font>
      <sz val="1"/>
      <color indexed="8"/>
      <name val="Courier New"/>
      <family val="3"/>
      <charset val="204"/>
    </font>
    <font>
      <b/>
      <sz val="10"/>
      <name val="MS Sans Serif"/>
      <family val="2"/>
      <charset val="204"/>
    </font>
    <font>
      <sz val="10"/>
      <color theme="1"/>
      <name val="Arial Cyr"/>
      <family val="2"/>
      <charset val="204"/>
    </font>
    <font>
      <sz val="10"/>
      <name val="Tahoma"/>
      <family val="2"/>
      <charset val="204"/>
    </font>
    <font>
      <b/>
      <sz val="8"/>
      <color rgb="FFFF0000"/>
      <name val="Times New Roman"/>
      <family val="1"/>
      <charset val="204"/>
    </font>
  </fonts>
  <fills count="6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33"/>
        <b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rgb="FFFFFF00"/>
        <bgColor indexed="26"/>
      </patternFill>
    </fill>
  </fills>
  <borders count="14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4"/>
      </bottom>
      <diagonal/>
    </border>
    <border>
      <left/>
      <right/>
      <top style="thin">
        <color indexed="63"/>
      </top>
      <bottom style="thin">
        <color indexed="64"/>
      </bottom>
      <diagonal/>
    </border>
    <border>
      <left/>
      <right/>
      <top style="thin">
        <color indexed="63"/>
      </top>
      <bottom/>
      <diagonal/>
    </border>
    <border>
      <left/>
      <right style="thin">
        <color indexed="63"/>
      </right>
      <top style="thin">
        <color indexed="63"/>
      </top>
      <bottom/>
      <diagonal/>
    </border>
    <border>
      <left/>
      <right style="thin">
        <color indexed="63"/>
      </right>
      <top style="thin">
        <color indexed="63"/>
      </top>
      <bottom style="thin">
        <color indexed="64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double">
        <color indexed="8"/>
      </bottom>
      <diagonal/>
    </border>
  </borders>
  <cellStyleXfs count="1716">
    <xf numFmtId="0" fontId="0" fillId="0" borderId="0"/>
    <xf numFmtId="0" fontId="29" fillId="0" borderId="0">
      <protection locked="0"/>
    </xf>
    <xf numFmtId="0" fontId="29" fillId="0" borderId="1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8" fillId="0" borderId="0"/>
    <xf numFmtId="172" fontId="43" fillId="0" borderId="0">
      <alignment vertical="top"/>
    </xf>
    <xf numFmtId="172" fontId="243" fillId="0" borderId="0">
      <alignment vertical="top"/>
    </xf>
    <xf numFmtId="203" fontId="243" fillId="2" borderId="0">
      <alignment vertical="top"/>
    </xf>
    <xf numFmtId="172" fontId="243" fillId="3" borderId="0">
      <alignment vertical="top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/>
    <xf numFmtId="176" fontId="5" fillId="0" borderId="0" applyFont="0" applyFill="0" applyBorder="0" applyAlignment="0" applyProtection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204" fontId="43" fillId="0" borderId="0">
      <alignment vertical="top"/>
    </xf>
    <xf numFmtId="38" fontId="43" fillId="0" borderId="0">
      <alignment vertical="top"/>
    </xf>
    <xf numFmtId="204" fontId="43" fillId="0" borderId="0">
      <alignment vertical="top"/>
    </xf>
    <xf numFmtId="204" fontId="43" fillId="0" borderId="0">
      <alignment vertical="top"/>
    </xf>
    <xf numFmtId="38" fontId="43" fillId="0" borderId="0">
      <alignment vertical="top"/>
    </xf>
    <xf numFmtId="204" fontId="43" fillId="0" borderId="0">
      <alignment vertical="top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204" fontId="43" fillId="0" borderId="0">
      <alignment vertical="top"/>
    </xf>
    <xf numFmtId="38" fontId="43" fillId="0" borderId="0">
      <alignment vertical="top"/>
    </xf>
    <xf numFmtId="204" fontId="43" fillId="0" borderId="0">
      <alignment vertical="top"/>
    </xf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204" fontId="43" fillId="0" borderId="0">
      <alignment vertical="top"/>
    </xf>
    <xf numFmtId="38" fontId="43" fillId="0" borderId="0">
      <alignment vertical="top"/>
    </xf>
    <xf numFmtId="204" fontId="43" fillId="0" borderId="0">
      <alignment vertical="top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204" fontId="43" fillId="0" borderId="0">
      <alignment vertical="top"/>
    </xf>
    <xf numFmtId="38" fontId="43" fillId="0" borderId="0">
      <alignment vertical="top"/>
    </xf>
    <xf numFmtId="204" fontId="43" fillId="0" borderId="0">
      <alignment vertical="top"/>
    </xf>
    <xf numFmtId="204" fontId="43" fillId="0" borderId="0">
      <alignment vertical="top"/>
    </xf>
    <xf numFmtId="38" fontId="43" fillId="0" borderId="0">
      <alignment vertical="top"/>
    </xf>
    <xf numFmtId="204" fontId="43" fillId="0" borderId="0">
      <alignment vertical="top"/>
    </xf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207" fontId="244" fillId="0" borderId="1">
      <protection locked="0"/>
    </xf>
    <xf numFmtId="0" fontId="29" fillId="0" borderId="0">
      <protection locked="0"/>
    </xf>
    <xf numFmtId="0" fontId="29" fillId="0" borderId="0">
      <protection locked="0"/>
    </xf>
    <xf numFmtId="205" fontId="244" fillId="0" borderId="0">
      <protection locked="0"/>
    </xf>
    <xf numFmtId="206" fontId="244" fillId="0" borderId="0">
      <protection locked="0"/>
    </xf>
    <xf numFmtId="0" fontId="2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29" fillId="0" borderId="1">
      <protection locked="0"/>
    </xf>
    <xf numFmtId="177" fontId="5" fillId="0" borderId="0">
      <alignment horizontal="center"/>
    </xf>
    <xf numFmtId="0" fontId="30" fillId="0" borderId="0">
      <protection locked="0"/>
    </xf>
    <xf numFmtId="0" fontId="30" fillId="0" borderId="0">
      <protection locked="0"/>
    </xf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4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5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6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8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9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1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12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7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0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2" fillId="13" borderId="0" applyNumberFormat="0" applyBorder="0" applyAlignment="0" applyProtection="0"/>
    <xf numFmtId="0" fontId="113" fillId="14" borderId="0" applyNumberFormat="0" applyBorder="0" applyAlignment="0" applyProtection="0"/>
    <xf numFmtId="0" fontId="113" fillId="11" borderId="0" applyNumberFormat="0" applyBorder="0" applyAlignment="0" applyProtection="0"/>
    <xf numFmtId="0" fontId="113" fillId="12" borderId="0" applyNumberFormat="0" applyBorder="0" applyAlignment="0" applyProtection="0"/>
    <xf numFmtId="0" fontId="113" fillId="15" borderId="0" applyNumberFormat="0" applyBorder="0" applyAlignment="0" applyProtection="0"/>
    <xf numFmtId="0" fontId="113" fillId="16" borderId="0" applyNumberFormat="0" applyBorder="0" applyAlignment="0" applyProtection="0"/>
    <xf numFmtId="0" fontId="113" fillId="17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4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1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2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0" fontId="113" fillId="17" borderId="0" applyNumberFormat="0" applyBorder="0" applyAlignment="0" applyProtection="0"/>
    <xf numFmtId="178" fontId="31" fillId="0" borderId="0" applyFont="0" applyFill="0" applyBorder="0" applyAlignment="0" applyProtection="0"/>
    <xf numFmtId="174" fontId="31" fillId="0" borderId="0" applyFont="0" applyFill="0" applyBorder="0" applyAlignment="0" applyProtection="0"/>
    <xf numFmtId="0" fontId="113" fillId="18" borderId="0" applyNumberFormat="0" applyBorder="0" applyAlignment="0" applyProtection="0"/>
    <xf numFmtId="0" fontId="113" fillId="19" borderId="0" applyNumberFormat="0" applyBorder="0" applyAlignment="0" applyProtection="0"/>
    <xf numFmtId="0" fontId="113" fillId="20" borderId="0" applyNumberFormat="0" applyBorder="0" applyAlignment="0" applyProtection="0"/>
    <xf numFmtId="0" fontId="113" fillId="15" borderId="0" applyNumberFormat="0" applyBorder="0" applyAlignment="0" applyProtection="0"/>
    <xf numFmtId="0" fontId="113" fillId="16" borderId="0" applyNumberFormat="0" applyBorder="0" applyAlignment="0" applyProtection="0"/>
    <xf numFmtId="0" fontId="113" fillId="21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208" fontId="18" fillId="0" borderId="2">
      <protection locked="0"/>
    </xf>
    <xf numFmtId="209" fontId="23" fillId="0" borderId="0" applyFont="0" applyFill="0" applyBorder="0" applyAlignment="0" applyProtection="0"/>
    <xf numFmtId="210" fontId="23" fillId="0" borderId="0" applyFont="0" applyFill="0" applyBorder="0" applyAlignment="0" applyProtection="0"/>
    <xf numFmtId="0" fontId="121" fillId="5" borderId="0" applyNumberFormat="0" applyBorder="0" applyAlignment="0" applyProtection="0"/>
    <xf numFmtId="0" fontId="32" fillId="0" borderId="0" applyFill="0" applyBorder="0" applyAlignment="0"/>
    <xf numFmtId="0" fontId="116" fillId="22" borderId="3" applyNumberFormat="0" applyAlignment="0" applyProtection="0"/>
    <xf numFmtId="0" fontId="118" fillId="23" borderId="4" applyNumberFormat="0" applyAlignment="0" applyProtection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3" fontId="33" fillId="24" borderId="0" applyFont="0" applyFill="0" applyBorder="0" applyAlignment="0" applyProtection="0"/>
    <xf numFmtId="208" fontId="245" fillId="25" borderId="2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211" fontId="39" fillId="0" borderId="0" applyFont="0" applyFill="0" applyBorder="0" applyAlignment="0" applyProtection="0"/>
    <xf numFmtId="42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179" fontId="31" fillId="24" borderId="0" applyFont="0" applyFill="0" applyBorder="0" applyAlignment="0" applyProtection="0"/>
    <xf numFmtId="0" fontId="33" fillId="24" borderId="0" applyFont="0" applyFill="0" applyBorder="0" applyAlignment="0" applyProtection="0"/>
    <xf numFmtId="14" fontId="20" fillId="0" borderId="0">
      <alignment vertical="top"/>
    </xf>
    <xf numFmtId="204" fontId="246" fillId="0" borderId="0">
      <alignment vertical="top"/>
    </xf>
    <xf numFmtId="180" fontId="5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164" fontId="247" fillId="0" borderId="0" applyFill="0" applyBorder="0" applyAlignment="0" applyProtection="0"/>
    <xf numFmtId="164" fontId="43" fillId="0" borderId="0" applyFill="0" applyBorder="0" applyAlignment="0" applyProtection="0"/>
    <xf numFmtId="164" fontId="248" fillId="0" borderId="0" applyFill="0" applyBorder="0" applyAlignment="0" applyProtection="0"/>
    <xf numFmtId="164" fontId="249" fillId="0" borderId="0" applyFill="0" applyBorder="0" applyAlignment="0" applyProtection="0"/>
    <xf numFmtId="164" fontId="250" fillId="0" borderId="0" applyFill="0" applyBorder="0" applyAlignment="0" applyProtection="0"/>
    <xf numFmtId="164" fontId="251" fillId="0" borderId="0" applyFill="0" applyBorder="0" applyAlignment="0" applyProtection="0"/>
    <xf numFmtId="164" fontId="252" fillId="0" borderId="0" applyFill="0" applyBorder="0" applyAlignment="0" applyProtection="0"/>
    <xf numFmtId="2" fontId="33" fillId="24" borderId="0" applyFon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125" fillId="6" borderId="0" applyNumberFormat="0" applyBorder="0" applyAlignment="0" applyProtection="0"/>
    <xf numFmtId="0" fontId="35" fillId="0" borderId="5" applyNumberFormat="0" applyAlignment="0" applyProtection="0">
      <alignment horizontal="left" vertical="center"/>
    </xf>
    <xf numFmtId="0" fontId="35" fillId="0" borderId="6">
      <alignment horizontal="left" vertical="center"/>
    </xf>
    <xf numFmtId="0" fontId="253" fillId="0" borderId="0">
      <alignment vertical="top"/>
    </xf>
    <xf numFmtId="0" fontId="36" fillId="24" borderId="0" applyNumberFormat="0" applyFill="0" applyBorder="0" applyAlignment="0" applyProtection="0"/>
    <xf numFmtId="0" fontId="37" fillId="24" borderId="0" applyNumberFormat="0" applyFill="0" applyBorder="0" applyAlignment="0" applyProtection="0"/>
    <xf numFmtId="0" fontId="117" fillId="0" borderId="7" applyNumberFormat="0" applyFill="0" applyAlignment="0" applyProtection="0"/>
    <xf numFmtId="0" fontId="117" fillId="0" borderId="0" applyNumberFormat="0" applyFill="0" applyBorder="0" applyAlignment="0" applyProtection="0"/>
    <xf numFmtId="204" fontId="86" fillId="0" borderId="0">
      <alignment vertical="top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/>
    <xf numFmtId="208" fontId="25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14" fillId="9" borderId="3" applyNumberFormat="0" applyAlignment="0" applyProtection="0"/>
    <xf numFmtId="204" fontId="243" fillId="0" borderId="0">
      <alignment vertical="top"/>
    </xf>
    <xf numFmtId="204" fontId="243" fillId="2" borderId="0">
      <alignment vertical="top"/>
    </xf>
    <xf numFmtId="212" fontId="243" fillId="3" borderId="0">
      <alignment vertical="top"/>
    </xf>
    <xf numFmtId="38" fontId="243" fillId="0" borderId="0">
      <alignment vertical="top"/>
    </xf>
    <xf numFmtId="0" fontId="7" fillId="0" borderId="0" applyNumberFormat="0" applyFill="0" applyBorder="0" applyAlignment="0" applyProtection="0">
      <alignment vertical="top"/>
      <protection locked="0"/>
    </xf>
    <xf numFmtId="0" fontId="40" fillId="0" borderId="0">
      <alignment vertical="center"/>
    </xf>
    <xf numFmtId="181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41" fillId="0" borderId="0" applyProtection="0">
      <alignment vertical="center"/>
      <protection locked="0"/>
    </xf>
    <xf numFmtId="0" fontId="41" fillId="0" borderId="0" applyNumberFormat="0" applyProtection="0">
      <alignment vertical="top"/>
      <protection locked="0"/>
    </xf>
    <xf numFmtId="0" fontId="42" fillId="0" borderId="8" applyAlignment="0"/>
    <xf numFmtId="0" fontId="123" fillId="0" borderId="9" applyNumberFormat="0" applyFill="0" applyAlignment="0" applyProtection="0"/>
    <xf numFmtId="0" fontId="120" fillId="26" borderId="0" applyNumberFormat="0" applyBorder="0" applyAlignment="0" applyProtection="0"/>
    <xf numFmtId="0" fontId="255" fillId="0" borderId="0" applyNumberFormat="0" applyFill="0" applyBorder="0" applyAlignment="0" applyProtection="0"/>
    <xf numFmtId="0" fontId="23" fillId="0" borderId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12" fillId="0" borderId="0"/>
    <xf numFmtId="0" fontId="256" fillId="0" borderId="0"/>
    <xf numFmtId="0" fontId="27" fillId="0" borderId="0"/>
    <xf numFmtId="0" fontId="23" fillId="27" borderId="10" applyNumberFormat="0" applyFont="0" applyAlignment="0" applyProtection="0"/>
    <xf numFmtId="182" fontId="5" fillId="0" borderId="0" applyFont="0" applyFill="0" applyBorder="0" applyAlignment="0" applyProtection="0"/>
    <xf numFmtId="183" fontId="5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5" fillId="0" borderId="0" applyFont="0" applyFill="0" applyBorder="0" applyAlignment="0" applyProtection="0"/>
    <xf numFmtId="213" fontId="23" fillId="0" borderId="0" applyFont="0" applyFill="0" applyBorder="0" applyAlignment="0" applyProtection="0"/>
    <xf numFmtId="186" fontId="5" fillId="0" borderId="0" applyFont="0" applyFill="0" applyBorder="0" applyAlignment="0" applyProtection="0"/>
    <xf numFmtId="214" fontId="23" fillId="0" borderId="0" applyFont="0" applyFill="0" applyBorder="0" applyAlignment="0" applyProtection="0"/>
    <xf numFmtId="187" fontId="5" fillId="0" borderId="0" applyFont="0" applyFill="0" applyBorder="0" applyAlignment="0" applyProtection="0"/>
    <xf numFmtId="188" fontId="31" fillId="0" borderId="0" applyFont="0" applyFill="0" applyBorder="0" applyAlignment="0" applyProtection="0"/>
    <xf numFmtId="189" fontId="31" fillId="0" borderId="0" applyFont="0" applyFill="0" applyBorder="0" applyAlignment="0" applyProtection="0"/>
    <xf numFmtId="188" fontId="31" fillId="0" borderId="0" applyFont="0" applyFill="0" applyBorder="0" applyAlignment="0" applyProtection="0"/>
    <xf numFmtId="189" fontId="31" fillId="0" borderId="0" applyFont="0" applyFill="0" applyBorder="0" applyAlignment="0" applyProtection="0"/>
    <xf numFmtId="0" fontId="115" fillId="22" borderId="11" applyNumberFormat="0" applyAlignment="0" applyProtection="0"/>
    <xf numFmtId="0" fontId="43" fillId="24" borderId="0" applyFill="0" applyBorder="0" applyProtection="0">
      <alignment horizontal="center"/>
    </xf>
    <xf numFmtId="0" fontId="44" fillId="0" borderId="0"/>
    <xf numFmtId="0" fontId="257" fillId="0" borderId="0" applyNumberFormat="0">
      <alignment horizontal="left"/>
    </xf>
    <xf numFmtId="0" fontId="44" fillId="0" borderId="0"/>
    <xf numFmtId="0" fontId="45" fillId="0" borderId="0" applyProtection="0"/>
    <xf numFmtId="4" fontId="258" fillId="28" borderId="11" applyNumberFormat="0" applyProtection="0">
      <alignment vertical="center"/>
    </xf>
    <xf numFmtId="4" fontId="259" fillId="28" borderId="11" applyNumberFormat="0" applyProtection="0">
      <alignment vertical="center"/>
    </xf>
    <xf numFmtId="4" fontId="258" fillId="28" borderId="11" applyNumberFormat="0" applyProtection="0">
      <alignment horizontal="left" vertical="center" indent="1"/>
    </xf>
    <xf numFmtId="4" fontId="258" fillId="28" borderId="11" applyNumberFormat="0" applyProtection="0">
      <alignment horizontal="left" vertical="center" indent="1"/>
    </xf>
    <xf numFmtId="0" fontId="33" fillId="29" borderId="11" applyNumberFormat="0" applyProtection="0">
      <alignment horizontal="left" vertical="center" indent="1"/>
    </xf>
    <xf numFmtId="4" fontId="258" fillId="30" borderId="11" applyNumberFormat="0" applyProtection="0">
      <alignment horizontal="right" vertical="center"/>
    </xf>
    <xf numFmtId="4" fontId="258" fillId="31" borderId="11" applyNumberFormat="0" applyProtection="0">
      <alignment horizontal="right" vertical="center"/>
    </xf>
    <xf numFmtId="4" fontId="258" fillId="32" borderId="11" applyNumberFormat="0" applyProtection="0">
      <alignment horizontal="right" vertical="center"/>
    </xf>
    <xf numFmtId="4" fontId="258" fillId="33" borderId="11" applyNumberFormat="0" applyProtection="0">
      <alignment horizontal="right" vertical="center"/>
    </xf>
    <xf numFmtId="4" fontId="258" fillId="34" borderId="11" applyNumberFormat="0" applyProtection="0">
      <alignment horizontal="right" vertical="center"/>
    </xf>
    <xf numFmtId="4" fontId="258" fillId="35" borderId="11" applyNumberFormat="0" applyProtection="0">
      <alignment horizontal="right" vertical="center"/>
    </xf>
    <xf numFmtId="4" fontId="258" fillId="36" borderId="11" applyNumberFormat="0" applyProtection="0">
      <alignment horizontal="right" vertical="center"/>
    </xf>
    <xf numFmtId="4" fontId="258" fillId="37" borderId="11" applyNumberFormat="0" applyProtection="0">
      <alignment horizontal="right" vertical="center"/>
    </xf>
    <xf numFmtId="4" fontId="258" fillId="38" borderId="11" applyNumberFormat="0" applyProtection="0">
      <alignment horizontal="right" vertical="center"/>
    </xf>
    <xf numFmtId="4" fontId="260" fillId="39" borderId="11" applyNumberFormat="0" applyProtection="0">
      <alignment horizontal="left" vertical="center" indent="1"/>
    </xf>
    <xf numFmtId="4" fontId="258" fillId="40" borderId="12" applyNumberFormat="0" applyProtection="0">
      <alignment horizontal="left" vertical="center" indent="1"/>
    </xf>
    <xf numFmtId="4" fontId="261" fillId="41" borderId="0" applyNumberFormat="0" applyProtection="0">
      <alignment horizontal="left" vertical="center" indent="1"/>
    </xf>
    <xf numFmtId="0" fontId="33" fillId="29" borderId="11" applyNumberFormat="0" applyProtection="0">
      <alignment horizontal="left" vertical="center" indent="1"/>
    </xf>
    <xf numFmtId="4" fontId="262" fillId="40" borderId="11" applyNumberFormat="0" applyProtection="0">
      <alignment horizontal="left" vertical="center" indent="1"/>
    </xf>
    <xf numFmtId="4" fontId="262" fillId="42" borderId="11" applyNumberFormat="0" applyProtection="0">
      <alignment horizontal="left" vertical="center" indent="1"/>
    </xf>
    <xf numFmtId="0" fontId="33" fillId="42" borderId="11" applyNumberFormat="0" applyProtection="0">
      <alignment horizontal="left" vertical="center" indent="1"/>
    </xf>
    <xf numFmtId="0" fontId="33" fillId="42" borderId="11" applyNumberFormat="0" applyProtection="0">
      <alignment horizontal="left" vertical="center" indent="1"/>
    </xf>
    <xf numFmtId="0" fontId="33" fillId="43" borderId="11" applyNumberFormat="0" applyProtection="0">
      <alignment horizontal="left" vertical="center" indent="1"/>
    </xf>
    <xf numFmtId="0" fontId="33" fillId="43" borderId="11" applyNumberFormat="0" applyProtection="0">
      <alignment horizontal="left" vertical="center" indent="1"/>
    </xf>
    <xf numFmtId="0" fontId="33" fillId="2" borderId="11" applyNumberFormat="0" applyProtection="0">
      <alignment horizontal="left" vertical="center" indent="1"/>
    </xf>
    <xf numFmtId="0" fontId="33" fillId="2" borderId="11" applyNumberFormat="0" applyProtection="0">
      <alignment horizontal="left" vertical="center" indent="1"/>
    </xf>
    <xf numFmtId="0" fontId="33" fillId="29" borderId="11" applyNumberFormat="0" applyProtection="0">
      <alignment horizontal="left" vertical="center" indent="1"/>
    </xf>
    <xf numFmtId="0" fontId="33" fillId="29" borderId="11" applyNumberFormat="0" applyProtection="0">
      <alignment horizontal="left" vertical="center" indent="1"/>
    </xf>
    <xf numFmtId="0" fontId="23" fillId="0" borderId="0"/>
    <xf numFmtId="4" fontId="258" fillId="44" borderId="11" applyNumberFormat="0" applyProtection="0">
      <alignment vertical="center"/>
    </xf>
    <xf numFmtId="4" fontId="259" fillId="44" borderId="11" applyNumberFormat="0" applyProtection="0">
      <alignment vertical="center"/>
    </xf>
    <xf numFmtId="4" fontId="258" fillId="44" borderId="11" applyNumberFormat="0" applyProtection="0">
      <alignment horizontal="left" vertical="center" indent="1"/>
    </xf>
    <xf numFmtId="4" fontId="258" fillId="44" borderId="11" applyNumberFormat="0" applyProtection="0">
      <alignment horizontal="left" vertical="center" indent="1"/>
    </xf>
    <xf numFmtId="4" fontId="258" fillId="40" borderId="11" applyNumberFormat="0" applyProtection="0">
      <alignment horizontal="right" vertical="center"/>
    </xf>
    <xf numFmtId="4" fontId="259" fillId="40" borderId="11" applyNumberFormat="0" applyProtection="0">
      <alignment horizontal="right" vertical="center"/>
    </xf>
    <xf numFmtId="0" fontId="33" fillId="29" borderId="11" applyNumberFormat="0" applyProtection="0">
      <alignment horizontal="left" vertical="center" indent="1"/>
    </xf>
    <xf numFmtId="0" fontId="33" fillId="29" borderId="11" applyNumberFormat="0" applyProtection="0">
      <alignment horizontal="left" vertical="center" indent="1"/>
    </xf>
    <xf numFmtId="0" fontId="263" fillId="0" borderId="0"/>
    <xf numFmtId="4" fontId="264" fillId="40" borderId="11" applyNumberFormat="0" applyProtection="0">
      <alignment horizontal="right" vertical="center"/>
    </xf>
    <xf numFmtId="0" fontId="33" fillId="0" borderId="0"/>
    <xf numFmtId="0" fontId="28" fillId="0" borderId="0"/>
    <xf numFmtId="204" fontId="172" fillId="45" borderId="0">
      <alignment horizontal="right" vertical="top"/>
    </xf>
    <xf numFmtId="0" fontId="119" fillId="0" borderId="0" applyNumberFormat="0" applyFill="0" applyBorder="0" applyAlignment="0" applyProtection="0"/>
    <xf numFmtId="0" fontId="33" fillId="24" borderId="13" applyNumberFormat="0" applyFont="0" applyFill="0" applyAlignment="0" applyProtection="0"/>
    <xf numFmtId="0" fontId="46" fillId="0" borderId="0"/>
    <xf numFmtId="190" fontId="31" fillId="0" borderId="0" applyFont="0" applyFill="0" applyBorder="0" applyAlignment="0" applyProtection="0"/>
    <xf numFmtId="191" fontId="31" fillId="0" borderId="0" applyFont="0" applyFill="0" applyBorder="0" applyAlignment="0" applyProtection="0"/>
    <xf numFmtId="181" fontId="33" fillId="0" borderId="0" applyFont="0" applyFill="0" applyBorder="0" applyAlignment="0" applyProtection="0"/>
    <xf numFmtId="0" fontId="46" fillId="0" borderId="0"/>
    <xf numFmtId="0" fontId="124" fillId="0" borderId="0" applyNumberFormat="0" applyFill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8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19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20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5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16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0" fontId="113" fillId="21" borderId="0" applyNumberFormat="0" applyBorder="0" applyAlignment="0" applyProtection="0"/>
    <xf numFmtId="208" fontId="18" fillId="0" borderId="2">
      <protection locked="0"/>
    </xf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4" fillId="9" borderId="3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5" fillId="22" borderId="11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116" fillId="22" borderId="3" applyNumberFormat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265" fillId="0" borderId="0" applyNumberFormat="0" applyFill="0" applyBorder="0" applyAlignment="0" applyProtection="0">
      <alignment vertical="top"/>
      <protection locked="0"/>
    </xf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0" fontId="255" fillId="0" borderId="0" applyNumberFormat="0" applyFill="0" applyBorder="0" applyAlignment="0" applyProtection="0"/>
    <xf numFmtId="44" fontId="5" fillId="0" borderId="0" applyFont="0" applyFill="0" applyBorder="0" applyAlignment="0" applyProtection="0"/>
    <xf numFmtId="44" fontId="47" fillId="0" borderId="0" applyFont="0" applyFill="0" applyBorder="0" applyAlignment="0" applyProtection="0"/>
    <xf numFmtId="0" fontId="109" fillId="0" borderId="0" applyBorder="0">
      <alignment horizontal="center" vertical="center" wrapText="1"/>
    </xf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69" fillId="0" borderId="14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70" fillId="0" borderId="15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7" applyNumberFormat="0" applyFill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09" fillId="0" borderId="0" applyBorder="0">
      <alignment horizontal="center" vertical="center" wrapText="1"/>
    </xf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10" fillId="0" borderId="16" applyBorder="0">
      <alignment horizontal="center" vertical="center" wrapText="1"/>
    </xf>
    <xf numFmtId="208" fontId="245" fillId="25" borderId="2"/>
    <xf numFmtId="4" fontId="111" fillId="28" borderId="17" applyBorder="0">
      <alignment horizontal="right"/>
    </xf>
    <xf numFmtId="49" fontId="137" fillId="0" borderId="0" applyBorder="0">
      <alignment vertical="center"/>
    </xf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0" fontId="171" fillId="0" borderId="18" applyNumberFormat="0" applyFill="0" applyAlignment="0" applyProtection="0"/>
    <xf numFmtId="3" fontId="245" fillId="0" borderId="17" applyBorder="0">
      <alignment vertical="center"/>
    </xf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255" fillId="0" borderId="1" applyNumberFormat="0" applyFill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118" fillId="23" borderId="4" applyNumberFormat="0" applyAlignment="0" applyProtection="0"/>
    <xf numFmtId="0" fontId="31" fillId="0" borderId="0">
      <alignment vertical="center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255" fillId="3" borderId="0" applyFill="0">
      <alignment wrapText="1"/>
    </xf>
    <xf numFmtId="0" fontId="37" fillId="0" borderId="0">
      <alignment horizontal="center" vertical="top" wrapText="1"/>
    </xf>
    <xf numFmtId="0" fontId="158" fillId="0" borderId="0">
      <alignment horizontal="centerContinuous" vertical="center" wrapText="1"/>
    </xf>
    <xf numFmtId="169" fontId="66" fillId="3" borderId="17">
      <alignment wrapText="1"/>
    </xf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0" fontId="120" fillId="26" borderId="0" applyNumberFormat="0" applyBorder="0" applyAlignment="0" applyProtection="0"/>
    <xf numFmtId="49" fontId="111" fillId="0" borderId="0" applyBorder="0">
      <alignment vertical="top"/>
    </xf>
    <xf numFmtId="0" fontId="266" fillId="0" borderId="0"/>
    <xf numFmtId="0" fontId="33" fillId="0" borderId="0"/>
    <xf numFmtId="0" fontId="273" fillId="0" borderId="0"/>
    <xf numFmtId="0" fontId="23" fillId="0" borderId="0"/>
    <xf numFmtId="0" fontId="5" fillId="0" borderId="0"/>
    <xf numFmtId="0" fontId="47" fillId="0" borderId="0"/>
    <xf numFmtId="0" fontId="33" fillId="0" borderId="0"/>
    <xf numFmtId="0" fontId="23" fillId="0" borderId="0"/>
    <xf numFmtId="0" fontId="23" fillId="0" borderId="0"/>
    <xf numFmtId="0" fontId="112" fillId="0" borderId="0"/>
    <xf numFmtId="0" fontId="23" fillId="0" borderId="0"/>
    <xf numFmtId="0" fontId="112" fillId="0" borderId="0"/>
    <xf numFmtId="0" fontId="18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267" fillId="0" borderId="0"/>
    <xf numFmtId="0" fontId="112" fillId="0" borderId="0"/>
    <xf numFmtId="0" fontId="23" fillId="0" borderId="0"/>
    <xf numFmtId="0" fontId="33" fillId="0" borderId="0"/>
    <xf numFmtId="0" fontId="33" fillId="0" borderId="0"/>
    <xf numFmtId="0" fontId="23" fillId="0" borderId="0"/>
    <xf numFmtId="0" fontId="47" fillId="0" borderId="0"/>
    <xf numFmtId="0" fontId="273" fillId="0" borderId="0"/>
    <xf numFmtId="0" fontId="23" fillId="0" borderId="0"/>
    <xf numFmtId="0" fontId="33" fillId="0" borderId="0"/>
    <xf numFmtId="0" fontId="33" fillId="0" borderId="0"/>
    <xf numFmtId="0" fontId="33" fillId="0" borderId="0"/>
    <xf numFmtId="0" fontId="18" fillId="0" borderId="0"/>
    <xf numFmtId="0" fontId="273" fillId="0" borderId="0"/>
    <xf numFmtId="0" fontId="273" fillId="0" borderId="0"/>
    <xf numFmtId="0" fontId="23" fillId="0" borderId="0"/>
    <xf numFmtId="0" fontId="23" fillId="0" borderId="0"/>
    <xf numFmtId="0" fontId="33" fillId="0" borderId="0"/>
    <xf numFmtId="4" fontId="101" fillId="0" borderId="0">
      <alignment vertical="center"/>
    </xf>
    <xf numFmtId="0" fontId="23" fillId="0" borderId="0"/>
    <xf numFmtId="0" fontId="23" fillId="0" borderId="0"/>
    <xf numFmtId="0" fontId="269" fillId="0" borderId="0"/>
    <xf numFmtId="0" fontId="47" fillId="0" borderId="0"/>
    <xf numFmtId="0" fontId="47" fillId="0" borderId="0"/>
    <xf numFmtId="0" fontId="101" fillId="0" borderId="0"/>
    <xf numFmtId="0" fontId="23" fillId="0" borderId="0"/>
    <xf numFmtId="0" fontId="48" fillId="0" borderId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121" fillId="5" borderId="0" applyNumberFormat="0" applyBorder="0" applyAlignment="0" applyProtection="0"/>
    <xf numFmtId="0" fontId="23" fillId="0" borderId="0" applyFont="0" applyFill="0" applyBorder="0" applyProtection="0">
      <alignment horizontal="center" vertical="center" wrapText="1"/>
    </xf>
    <xf numFmtId="0" fontId="23" fillId="0" borderId="0" applyNumberFormat="0" applyFont="0" applyFill="0" applyBorder="0" applyProtection="0">
      <alignment horizontal="justify" vertical="center" wrapText="1"/>
    </xf>
    <xf numFmtId="164" fontId="268" fillId="28" borderId="19" applyNumberFormat="0" applyBorder="0" applyAlignment="0">
      <alignment vertical="center"/>
      <protection locked="0"/>
    </xf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2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0" fontId="33" fillId="27" borderId="10" applyNumberFormat="0" applyFont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123" fillId="0" borderId="9" applyNumberFormat="0" applyFill="0" applyAlignment="0" applyProtection="0"/>
    <xf numFmtId="0" fontId="27" fillId="0" borderId="0"/>
    <xf numFmtId="204" fontId="43" fillId="0" borderId="0">
      <alignment vertical="top"/>
    </xf>
    <xf numFmtId="0" fontId="23" fillId="0" borderId="0">
      <alignment vertical="justify"/>
    </xf>
    <xf numFmtId="0" fontId="23" fillId="46" borderId="17" applyNumberFormat="0" applyAlignment="0">
      <alignment horizontal="left"/>
    </xf>
    <xf numFmtId="0" fontId="23" fillId="46" borderId="17" applyNumberFormat="0" applyAlignment="0">
      <alignment horizontal="left"/>
    </xf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164" fontId="255" fillId="0" borderId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49" fontId="255" fillId="0" borderId="0">
      <alignment horizontal="center"/>
    </xf>
    <xf numFmtId="192" fontId="23" fillId="0" borderId="0" applyFont="0" applyFill="0" applyBorder="0" applyAlignment="0" applyProtection="0"/>
    <xf numFmtId="3" fontId="15" fillId="0" borderId="20" applyFont="0" applyBorder="0">
      <alignment horizontal="right"/>
      <protection locked="0"/>
    </xf>
    <xf numFmtId="193" fontId="23" fillId="0" borderId="0" applyFont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2" fontId="255" fillId="0" borderId="0" applyFill="0" applyBorder="0" applyAlignment="0" applyProtection="0"/>
    <xf numFmtId="43" fontId="4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5" fontId="112" fillId="0" borderId="0" applyFont="0" applyFill="0" applyBorder="0" applyAlignment="0" applyProtection="0"/>
    <xf numFmtId="43" fontId="17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73" fillId="0" borderId="0" applyFont="0" applyFill="0" applyBorder="0" applyAlignment="0" applyProtection="0"/>
    <xf numFmtId="43" fontId="23" fillId="0" borderId="0" applyFont="0" applyFill="0" applyBorder="0" applyAlignment="0" applyProtection="0"/>
    <xf numFmtId="4" fontId="111" fillId="3" borderId="0" applyBorder="0">
      <alignment horizontal="right"/>
    </xf>
    <xf numFmtId="4" fontId="111" fillId="3" borderId="0" applyBorder="0">
      <alignment horizontal="right"/>
    </xf>
    <xf numFmtId="4" fontId="111" fillId="3" borderId="0" applyBorder="0">
      <alignment horizontal="right"/>
    </xf>
    <xf numFmtId="4" fontId="111" fillId="47" borderId="21" applyBorder="0">
      <alignment horizontal="right"/>
    </xf>
    <xf numFmtId="4" fontId="111" fillId="3" borderId="17" applyFont="0" applyBorder="0">
      <alignment horizontal="right"/>
    </xf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0" fontId="125" fillId="6" borderId="0" applyNumberFormat="0" applyBorder="0" applyAlignment="0" applyProtection="0"/>
    <xf numFmtId="170" fontId="23" fillId="0" borderId="17" applyFont="0" applyFill="0" applyBorder="0" applyProtection="0">
      <alignment horizontal="center" vertical="center"/>
    </xf>
    <xf numFmtId="0" fontId="29" fillId="0" borderId="0">
      <protection locked="0"/>
    </xf>
    <xf numFmtId="0" fontId="18" fillId="0" borderId="17" applyBorder="0">
      <alignment horizontal="center" vertical="center" wrapText="1"/>
    </xf>
    <xf numFmtId="43" fontId="5" fillId="0" borderId="0" applyFont="0" applyFill="0" applyBorder="0" applyAlignment="0" applyProtection="0"/>
    <xf numFmtId="0" fontId="5" fillId="0" borderId="0"/>
    <xf numFmtId="0" fontId="27" fillId="0" borderId="0"/>
    <xf numFmtId="0" fontId="5" fillId="0" borderId="0"/>
    <xf numFmtId="0" fontId="5" fillId="0" borderId="0"/>
    <xf numFmtId="0" fontId="4" fillId="0" borderId="0"/>
    <xf numFmtId="9" fontId="5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7" fillId="0" borderId="0"/>
    <xf numFmtId="0" fontId="33" fillId="0" borderId="0"/>
    <xf numFmtId="0" fontId="3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8" fillId="0" borderId="0"/>
    <xf numFmtId="0" fontId="27" fillId="0" borderId="0"/>
    <xf numFmtId="0" fontId="33" fillId="0" borderId="0"/>
    <xf numFmtId="0" fontId="33" fillId="0" borderId="0"/>
    <xf numFmtId="0" fontId="27" fillId="0" borderId="0"/>
    <xf numFmtId="0" fontId="27" fillId="0" borderId="0"/>
    <xf numFmtId="0" fontId="27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3" fillId="0" borderId="0"/>
    <xf numFmtId="0" fontId="33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7" fillId="0" borderId="0"/>
    <xf numFmtId="0" fontId="267" fillId="0" borderId="0"/>
    <xf numFmtId="0" fontId="33" fillId="0" borderId="0"/>
    <xf numFmtId="0" fontId="28" fillId="0" borderId="0"/>
    <xf numFmtId="0" fontId="21" fillId="0" borderId="0"/>
    <xf numFmtId="0" fontId="21" fillId="0" borderId="0"/>
    <xf numFmtId="0" fontId="33" fillId="0" borderId="0"/>
    <xf numFmtId="0" fontId="33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44" fillId="0" borderId="0">
      <protection locked="0"/>
    </xf>
    <xf numFmtId="0" fontId="29" fillId="0" borderId="0">
      <protection locked="0"/>
    </xf>
    <xf numFmtId="0" fontId="244" fillId="0" borderId="0">
      <protection locked="0"/>
    </xf>
    <xf numFmtId="0" fontId="29" fillId="0" borderId="0">
      <protection locked="0"/>
    </xf>
    <xf numFmtId="0" fontId="244" fillId="0" borderId="0">
      <protection locked="0"/>
    </xf>
    <xf numFmtId="0" fontId="29" fillId="0" borderId="0">
      <protection locked="0"/>
    </xf>
    <xf numFmtId="0" fontId="244" fillId="0" borderId="1">
      <protection locked="0"/>
    </xf>
    <xf numFmtId="0" fontId="29" fillId="0" borderId="1">
      <protection locked="0"/>
    </xf>
    <xf numFmtId="0" fontId="320" fillId="0" borderId="0">
      <protection locked="0"/>
    </xf>
    <xf numFmtId="0" fontId="30" fillId="0" borderId="0">
      <protection locked="0"/>
    </xf>
    <xf numFmtId="0" fontId="320" fillId="0" borderId="0">
      <protection locked="0"/>
    </xf>
    <xf numFmtId="0" fontId="30" fillId="0" borderId="0">
      <protection locked="0"/>
    </xf>
    <xf numFmtId="0" fontId="244" fillId="0" borderId="0">
      <protection locked="0"/>
    </xf>
    <xf numFmtId="0" fontId="244" fillId="0" borderId="1">
      <protection locked="0"/>
    </xf>
    <xf numFmtId="0" fontId="29" fillId="0" borderId="0">
      <protection locked="0"/>
    </xf>
    <xf numFmtId="0" fontId="29" fillId="0" borderId="1">
      <protection locked="0"/>
    </xf>
    <xf numFmtId="0" fontId="29" fillId="0" borderId="0">
      <protection locked="0"/>
    </xf>
    <xf numFmtId="0" fontId="29" fillId="0" borderId="1">
      <protection locked="0"/>
    </xf>
    <xf numFmtId="0" fontId="29" fillId="0" borderId="0">
      <protection locked="0"/>
    </xf>
    <xf numFmtId="0" fontId="29" fillId="0" borderId="1">
      <protection locked="0"/>
    </xf>
    <xf numFmtId="0" fontId="29" fillId="0" borderId="0">
      <protection locked="0"/>
    </xf>
    <xf numFmtId="0" fontId="29" fillId="0" borderId="1">
      <protection locked="0"/>
    </xf>
    <xf numFmtId="0" fontId="29" fillId="0" borderId="0">
      <protection locked="0"/>
    </xf>
    <xf numFmtId="0" fontId="29" fillId="0" borderId="1">
      <protection locked="0"/>
    </xf>
    <xf numFmtId="0" fontId="321" fillId="0" borderId="0">
      <protection locked="0"/>
    </xf>
    <xf numFmtId="0" fontId="321" fillId="0" borderId="142">
      <protection locked="0"/>
    </xf>
    <xf numFmtId="0" fontId="322" fillId="0" borderId="0">
      <protection locked="0"/>
    </xf>
    <xf numFmtId="0" fontId="322" fillId="0" borderId="142">
      <protection locked="0"/>
    </xf>
    <xf numFmtId="0" fontId="244" fillId="0" borderId="0">
      <protection locked="0"/>
    </xf>
    <xf numFmtId="0" fontId="244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321" fillId="0" borderId="0">
      <protection locked="0"/>
    </xf>
    <xf numFmtId="0" fontId="321" fillId="0" borderId="0">
      <protection locked="0"/>
    </xf>
    <xf numFmtId="0" fontId="322" fillId="0" borderId="0">
      <protection locked="0"/>
    </xf>
    <xf numFmtId="0" fontId="322" fillId="0" borderId="0">
      <protection locked="0"/>
    </xf>
    <xf numFmtId="0" fontId="244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320" fillId="0" borderId="0">
      <protection locked="0"/>
    </xf>
    <xf numFmtId="0" fontId="30" fillId="0" borderId="0">
      <protection locked="0"/>
    </xf>
    <xf numFmtId="0" fontId="320" fillId="0" borderId="0">
      <protection locked="0"/>
    </xf>
    <xf numFmtId="0" fontId="30" fillId="0" borderId="0">
      <protection locked="0"/>
    </xf>
    <xf numFmtId="219" fontId="31" fillId="0" borderId="0">
      <alignment horizontal="center"/>
    </xf>
    <xf numFmtId="0" fontId="25" fillId="0" borderId="0" applyNumberFormat="0" applyFill="0" applyBorder="0" applyAlignment="0" applyProtection="0">
      <alignment vertical="top"/>
      <protection locked="0"/>
    </xf>
    <xf numFmtId="0" fontId="32" fillId="0" borderId="0" applyFill="0" applyBorder="0" applyAlignment="0"/>
    <xf numFmtId="3" fontId="33" fillId="24" borderId="0" applyFont="0" applyFill="0" applyBorder="0" applyAlignment="0" applyProtection="0"/>
    <xf numFmtId="0" fontId="33" fillId="24" borderId="0" applyFont="0" applyFill="0" applyBorder="0" applyAlignment="0" applyProtection="0"/>
    <xf numFmtId="180" fontId="31" fillId="0" borderId="0" applyFont="0" applyFill="0" applyBorder="0" applyAlignment="0" applyProtection="0">
      <alignment vertical="center"/>
    </xf>
    <xf numFmtId="2" fontId="33" fillId="24" borderId="0" applyFont="0" applyFill="0" applyBorder="0" applyAlignment="0" applyProtection="0"/>
    <xf numFmtId="0" fontId="36" fillId="24" borderId="0" applyNumberFormat="0" applyFill="0" applyBorder="0" applyAlignment="0" applyProtection="0"/>
    <xf numFmtId="0" fontId="37" fillId="24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40" fillId="0" borderId="0">
      <alignment vertical="center"/>
    </xf>
    <xf numFmtId="0" fontId="43" fillId="24" borderId="0" applyFill="0" applyBorder="0" applyProtection="0">
      <alignment horizontal="center"/>
    </xf>
    <xf numFmtId="0" fontId="44" fillId="0" borderId="0"/>
    <xf numFmtId="0" fontId="39" fillId="0" borderId="0" applyNumberFormat="0" applyFont="0" applyFill="0" applyBorder="0" applyAlignment="0" applyProtection="0">
      <alignment horizontal="left"/>
    </xf>
    <xf numFmtId="0" fontId="323" fillId="0" borderId="69">
      <alignment horizontal="center"/>
    </xf>
    <xf numFmtId="0" fontId="44" fillId="0" borderId="0"/>
    <xf numFmtId="0" fontId="33" fillId="24" borderId="13" applyNumberFormat="0" applyFont="0" applyFill="0" applyAlignment="0" applyProtection="0"/>
    <xf numFmtId="0" fontId="46" fillId="0" borderId="0"/>
    <xf numFmtId="0" fontId="46" fillId="0" borderId="0"/>
    <xf numFmtId="0" fontId="1" fillId="0" borderId="0"/>
    <xf numFmtId="0" fontId="324" fillId="0" borderId="0"/>
    <xf numFmtId="0" fontId="1" fillId="0" borderId="0"/>
    <xf numFmtId="0" fontId="5" fillId="0" borderId="0"/>
    <xf numFmtId="0" fontId="47" fillId="0" borderId="0"/>
    <xf numFmtId="0" fontId="5" fillId="0" borderId="0"/>
    <xf numFmtId="0" fontId="9" fillId="0" borderId="0"/>
    <xf numFmtId="0" fontId="33" fillId="0" borderId="0"/>
    <xf numFmtId="0" fontId="33" fillId="0" borderId="0"/>
    <xf numFmtId="0" fontId="5" fillId="46" borderId="141" applyNumberFormat="0" applyAlignment="0">
      <alignment horizontal="left"/>
    </xf>
    <xf numFmtId="0" fontId="5" fillId="46" borderId="141" applyNumberFormat="0" applyAlignment="0">
      <alignment horizontal="left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7" fillId="0" borderId="0" applyFont="0" applyFill="0" applyBorder="0" applyAlignment="0" applyProtection="0"/>
    <xf numFmtId="215" fontId="32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44" fillId="0" borderId="0">
      <protection locked="0"/>
    </xf>
    <xf numFmtId="0" fontId="29" fillId="0" borderId="0">
      <protection locked="0"/>
    </xf>
  </cellStyleXfs>
  <cellXfs count="3076">
    <xf numFmtId="0" fontId="0" fillId="0" borderId="0" xfId="0"/>
    <xf numFmtId="0" fontId="9" fillId="0" borderId="17" xfId="0" applyFont="1" applyBorder="1" applyAlignment="1">
      <alignment vertical="top" wrapText="1"/>
    </xf>
    <xf numFmtId="0" fontId="9" fillId="0" borderId="22" xfId="0" applyFont="1" applyBorder="1" applyAlignment="1">
      <alignment vertical="top" wrapText="1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25" xfId="0" applyFont="1" applyBorder="1" applyAlignment="1">
      <alignment vertical="top" wrapText="1"/>
    </xf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23" xfId="0" applyFont="1" applyBorder="1" applyAlignment="1">
      <alignment horizontal="center" vertical="top" wrapText="1"/>
    </xf>
    <xf numFmtId="0" fontId="9" fillId="0" borderId="26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0" xfId="0" applyFont="1" applyAlignment="1">
      <alignment horizontal="justify"/>
    </xf>
    <xf numFmtId="0" fontId="9" fillId="0" borderId="20" xfId="0" applyFont="1" applyBorder="1" applyAlignment="1">
      <alignment horizontal="center" vertical="top" wrapText="1"/>
    </xf>
    <xf numFmtId="0" fontId="9" fillId="0" borderId="17" xfId="0" applyFont="1" applyBorder="1"/>
    <xf numFmtId="0" fontId="11" fillId="0" borderId="0" xfId="0" applyFont="1"/>
    <xf numFmtId="0" fontId="9" fillId="0" borderId="26" xfId="0" applyFont="1" applyBorder="1" applyAlignment="1">
      <alignment vertical="top" wrapText="1"/>
    </xf>
    <xf numFmtId="0" fontId="9" fillId="0" borderId="0" xfId="0" applyFont="1" applyAlignment="1">
      <alignment horizontal="left"/>
    </xf>
    <xf numFmtId="2" fontId="9" fillId="0" borderId="25" xfId="0" applyNumberFormat="1" applyFont="1" applyBorder="1" applyAlignment="1">
      <alignment vertical="top" wrapText="1"/>
    </xf>
    <xf numFmtId="1" fontId="9" fillId="0" borderId="0" xfId="0" applyNumberFormat="1" applyFont="1"/>
    <xf numFmtId="0" fontId="9" fillId="0" borderId="0" xfId="0" applyFont="1" applyBorder="1"/>
    <xf numFmtId="0" fontId="9" fillId="0" borderId="17" xfId="0" applyFont="1" applyBorder="1" applyAlignment="1">
      <alignment horizontal="center" wrapText="1"/>
    </xf>
    <xf numFmtId="164" fontId="9" fillId="0" borderId="0" xfId="0" applyNumberFormat="1" applyFont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17" fontId="9" fillId="0" borderId="0" xfId="0" applyNumberFormat="1" applyFont="1" applyBorder="1" applyAlignment="1">
      <alignment horizontal="center" vertical="center" wrapText="1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17" xfId="0" applyFont="1" applyBorder="1"/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2" fontId="9" fillId="0" borderId="0" xfId="0" applyNumberFormat="1" applyFont="1" applyBorder="1" applyAlignment="1">
      <alignment horizontal="center"/>
    </xf>
    <xf numFmtId="2" fontId="9" fillId="0" borderId="0" xfId="0" applyNumberFormat="1" applyFont="1"/>
    <xf numFmtId="168" fontId="16" fillId="0" borderId="0" xfId="0" applyNumberFormat="1" applyFont="1"/>
    <xf numFmtId="0" fontId="9" fillId="0" borderId="24" xfId="0" quotePrefix="1" applyFont="1" applyBorder="1" applyAlignment="1">
      <alignment horizontal="center"/>
    </xf>
    <xf numFmtId="168" fontId="9" fillId="0" borderId="0" xfId="0" applyNumberFormat="1" applyFont="1"/>
    <xf numFmtId="0" fontId="19" fillId="0" borderId="0" xfId="0" applyFont="1" applyAlignment="1">
      <alignment horizontal="center"/>
    </xf>
    <xf numFmtId="164" fontId="9" fillId="0" borderId="25" xfId="0" applyNumberFormat="1" applyFont="1" applyBorder="1" applyAlignment="1">
      <alignment vertical="top" wrapText="1"/>
    </xf>
    <xf numFmtId="0" fontId="14" fillId="0" borderId="0" xfId="0" applyFont="1"/>
    <xf numFmtId="166" fontId="9" fillId="0" borderId="0" xfId="0" applyNumberFormat="1" applyFont="1"/>
    <xf numFmtId="0" fontId="11" fillId="0" borderId="0" xfId="0" applyFont="1" applyBorder="1"/>
    <xf numFmtId="0" fontId="11" fillId="0" borderId="17" xfId="0" applyFont="1" applyBorder="1" applyAlignment="1">
      <alignment horizontal="center" vertical="top" wrapText="1"/>
    </xf>
    <xf numFmtId="0" fontId="11" fillId="0" borderId="17" xfId="0" applyFont="1" applyBorder="1" applyAlignment="1">
      <alignment horizontal="center" vertical="top"/>
    </xf>
    <xf numFmtId="0" fontId="19" fillId="0" borderId="24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top" wrapText="1"/>
    </xf>
    <xf numFmtId="0" fontId="21" fillId="0" borderId="0" xfId="0" applyFont="1" applyAlignment="1">
      <alignment horizontal="left"/>
    </xf>
    <xf numFmtId="0" fontId="22" fillId="0" borderId="0" xfId="0" applyFont="1" applyFill="1" applyBorder="1" applyAlignment="1">
      <alignment horizontal="center"/>
    </xf>
    <xf numFmtId="0" fontId="19" fillId="0" borderId="0" xfId="0" applyFont="1" applyAlignment="1">
      <alignment horizontal="centerContinuous"/>
    </xf>
    <xf numFmtId="0" fontId="17" fillId="46" borderId="0" xfId="0" applyFont="1" applyFill="1"/>
    <xf numFmtId="0" fontId="11" fillId="0" borderId="0" xfId="0" applyFont="1" applyAlignment="1">
      <alignment horizontal="right"/>
    </xf>
    <xf numFmtId="0" fontId="9" fillId="0" borderId="0" xfId="0" applyFont="1" applyAlignment="1">
      <alignment horizontal="centerContinuous" vertical="center" wrapText="1"/>
    </xf>
    <xf numFmtId="173" fontId="16" fillId="46" borderId="17" xfId="1215" applyNumberFormat="1" applyFont="1" applyFill="1" applyBorder="1" applyAlignment="1">
      <alignment horizontal="right" wrapText="1"/>
    </xf>
    <xf numFmtId="0" fontId="51" fillId="0" borderId="0" xfId="0" applyFont="1"/>
    <xf numFmtId="195" fontId="16" fillId="46" borderId="17" xfId="1215" applyNumberFormat="1" applyFont="1" applyFill="1" applyBorder="1" applyAlignment="1">
      <alignment horizontal="right" wrapText="1"/>
    </xf>
    <xf numFmtId="0" fontId="49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46" borderId="0" xfId="0" applyFont="1" applyFill="1"/>
    <xf numFmtId="4" fontId="9" fillId="0" borderId="25" xfId="0" applyNumberFormat="1" applyFont="1" applyBorder="1" applyAlignment="1">
      <alignment vertical="top" wrapText="1"/>
    </xf>
    <xf numFmtId="2" fontId="9" fillId="0" borderId="17" xfId="0" applyNumberFormat="1" applyFont="1" applyBorder="1"/>
    <xf numFmtId="0" fontId="57" fillId="0" borderId="0" xfId="1214" applyFont="1" applyFill="1" applyAlignment="1">
      <alignment horizontal="centerContinuous" wrapText="1"/>
    </xf>
    <xf numFmtId="0" fontId="14" fillId="0" borderId="0" xfId="0" applyFont="1" applyAlignment="1">
      <alignment horizontal="center"/>
    </xf>
    <xf numFmtId="0" fontId="9" fillId="0" borderId="25" xfId="0" applyFont="1" applyBorder="1" applyAlignment="1">
      <alignment wrapText="1"/>
    </xf>
    <xf numFmtId="0" fontId="11" fillId="0" borderId="0" xfId="0" applyFont="1" applyAlignment="1">
      <alignment horizontal="centerContinuous" wrapText="1"/>
    </xf>
    <xf numFmtId="0" fontId="55" fillId="0" borderId="0" xfId="0" applyFont="1"/>
    <xf numFmtId="0" fontId="11" fillId="0" borderId="0" xfId="0" applyFont="1" applyAlignment="1">
      <alignment horizontal="centerContinuous"/>
    </xf>
    <xf numFmtId="0" fontId="11" fillId="0" borderId="17" xfId="0" applyFont="1" applyBorder="1" applyAlignment="1">
      <alignment horizontal="centerContinuous" vertical="top" wrapText="1"/>
    </xf>
    <xf numFmtId="0" fontId="47" fillId="0" borderId="0" xfId="1176"/>
    <xf numFmtId="0" fontId="61" fillId="0" borderId="0" xfId="1176" applyFont="1"/>
    <xf numFmtId="0" fontId="63" fillId="0" borderId="0" xfId="1176" applyFont="1" applyAlignment="1">
      <alignment horizontal="centerContinuous" wrapText="1"/>
    </xf>
    <xf numFmtId="0" fontId="63" fillId="0" borderId="0" xfId="1176" applyFont="1" applyAlignment="1">
      <alignment horizontal="center"/>
    </xf>
    <xf numFmtId="0" fontId="65" fillId="0" borderId="0" xfId="1176" applyFont="1"/>
    <xf numFmtId="0" fontId="60" fillId="0" borderId="0" xfId="1176" applyFont="1"/>
    <xf numFmtId="173" fontId="9" fillId="46" borderId="17" xfId="1215" applyNumberFormat="1" applyFont="1" applyFill="1" applyBorder="1" applyAlignment="1">
      <alignment horizontal="right" wrapText="1"/>
    </xf>
    <xf numFmtId="170" fontId="14" fillId="0" borderId="25" xfId="0" applyNumberFormat="1" applyFont="1" applyBorder="1" applyAlignment="1">
      <alignment vertical="top" wrapText="1"/>
    </xf>
    <xf numFmtId="170" fontId="72" fillId="0" borderId="0" xfId="0" applyNumberFormat="1" applyFont="1"/>
    <xf numFmtId="195" fontId="9" fillId="0" borderId="0" xfId="0" applyNumberFormat="1" applyFont="1"/>
    <xf numFmtId="0" fontId="75" fillId="0" borderId="0" xfId="0" applyFont="1" applyAlignment="1">
      <alignment horizontal="center" wrapText="1"/>
    </xf>
    <xf numFmtId="3" fontId="75" fillId="0" borderId="0" xfId="0" applyNumberFormat="1" applyFont="1" applyAlignment="1">
      <alignment horizontal="center" wrapText="1"/>
    </xf>
    <xf numFmtId="170" fontId="9" fillId="46" borderId="25" xfId="0" applyNumberFormat="1" applyFont="1" applyFill="1" applyBorder="1" applyAlignment="1">
      <alignment wrapText="1"/>
    </xf>
    <xf numFmtId="164" fontId="9" fillId="46" borderId="25" xfId="0" applyNumberFormat="1" applyFont="1" applyFill="1" applyBorder="1" applyAlignment="1">
      <alignment wrapText="1"/>
    </xf>
    <xf numFmtId="2" fontId="9" fillId="46" borderId="25" xfId="0" applyNumberFormat="1" applyFont="1" applyFill="1" applyBorder="1" applyAlignment="1">
      <alignment wrapText="1"/>
    </xf>
    <xf numFmtId="170" fontId="76" fillId="0" borderId="0" xfId="0" applyNumberFormat="1" applyFont="1"/>
    <xf numFmtId="170" fontId="16" fillId="0" borderId="0" xfId="0" applyNumberFormat="1" applyFont="1"/>
    <xf numFmtId="0" fontId="16" fillId="46" borderId="17" xfId="0" applyFont="1" applyFill="1" applyBorder="1" applyAlignment="1">
      <alignment wrapText="1"/>
    </xf>
    <xf numFmtId="170" fontId="9" fillId="0" borderId="0" xfId="0" applyNumberFormat="1" applyFont="1"/>
    <xf numFmtId="0" fontId="47" fillId="0" borderId="0" xfId="1176" applyFont="1"/>
    <xf numFmtId="0" fontId="60" fillId="0" borderId="0" xfId="1176" applyFont="1" applyAlignment="1">
      <alignment horizontal="center" vertical="top" wrapText="1"/>
    </xf>
    <xf numFmtId="0" fontId="64" fillId="0" borderId="0" xfId="1176" applyFont="1"/>
    <xf numFmtId="0" fontId="51" fillId="0" borderId="17" xfId="1176" applyFont="1" applyBorder="1" applyAlignment="1">
      <alignment horizontal="left" wrapText="1"/>
    </xf>
    <xf numFmtId="49" fontId="22" fillId="0" borderId="0" xfId="1176" applyNumberFormat="1" applyFont="1" applyFill="1" applyBorder="1" applyAlignment="1"/>
    <xf numFmtId="0" fontId="22" fillId="0" borderId="0" xfId="1176" applyFont="1"/>
    <xf numFmtId="0" fontId="11" fillId="46" borderId="0" xfId="0" applyFont="1" applyFill="1"/>
    <xf numFmtId="0" fontId="9" fillId="0" borderId="25" xfId="0" quotePrefix="1" applyFont="1" applyBorder="1" applyAlignment="1">
      <alignment horizontal="center" vertical="top" wrapText="1"/>
    </xf>
    <xf numFmtId="0" fontId="51" fillId="0" borderId="17" xfId="0" applyFont="1" applyBorder="1" applyAlignment="1">
      <alignment horizontal="center" vertical="top" wrapText="1"/>
    </xf>
    <xf numFmtId="0" fontId="62" fillId="0" borderId="0" xfId="0" applyFont="1" applyAlignment="1">
      <alignment horizontal="center"/>
    </xf>
    <xf numFmtId="0" fontId="13" fillId="0" borderId="17" xfId="0" applyFont="1" applyBorder="1" applyAlignment="1">
      <alignment horizontal="center" vertical="top" wrapText="1"/>
    </xf>
    <xf numFmtId="0" fontId="79" fillId="0" borderId="23" xfId="0" applyFont="1" applyBorder="1" applyAlignment="1">
      <alignment horizontal="centerContinuous" vertical="top"/>
    </xf>
    <xf numFmtId="0" fontId="79" fillId="0" borderId="23" xfId="0" applyFont="1" applyBorder="1" applyAlignment="1">
      <alignment horizontal="centerContinuous" vertical="top" wrapText="1"/>
    </xf>
    <xf numFmtId="0" fontId="79" fillId="0" borderId="17" xfId="0" applyFont="1" applyBorder="1" applyAlignment="1">
      <alignment horizontal="centerContinuous" vertical="top" wrapText="1"/>
    </xf>
    <xf numFmtId="0" fontId="11" fillId="46" borderId="17" xfId="1208" applyFont="1" applyFill="1" applyBorder="1" applyAlignment="1">
      <alignment vertical="center" wrapText="1"/>
    </xf>
    <xf numFmtId="0" fontId="51" fillId="46" borderId="17" xfId="1208" applyFont="1" applyFill="1" applyBorder="1" applyAlignment="1">
      <alignment horizontal="center" vertical="center" wrapText="1"/>
    </xf>
    <xf numFmtId="173" fontId="11" fillId="46" borderId="17" xfId="1215" applyNumberFormat="1" applyFont="1" applyFill="1" applyBorder="1" applyAlignment="1">
      <alignment horizontal="right" vertical="center" wrapText="1"/>
    </xf>
    <xf numFmtId="0" fontId="11" fillId="46" borderId="0" xfId="0" applyFont="1" applyFill="1" applyBorder="1"/>
    <xf numFmtId="0" fontId="49" fillId="28" borderId="17" xfId="0" applyFont="1" applyFill="1" applyBorder="1" applyAlignment="1">
      <alignment vertical="center"/>
    </xf>
    <xf numFmtId="170" fontId="49" fillId="28" borderId="17" xfId="0" applyNumberFormat="1" applyFont="1" applyFill="1" applyBorder="1" applyAlignment="1">
      <alignment vertical="center"/>
    </xf>
    <xf numFmtId="0" fontId="49" fillId="46" borderId="0" xfId="0" applyFont="1" applyFill="1"/>
    <xf numFmtId="170" fontId="51" fillId="46" borderId="0" xfId="0" applyNumberFormat="1" applyFont="1" applyFill="1"/>
    <xf numFmtId="170" fontId="51" fillId="46" borderId="0" xfId="0" applyNumberFormat="1" applyFont="1" applyFill="1" applyAlignment="1">
      <alignment horizontal="right"/>
    </xf>
    <xf numFmtId="0" fontId="51" fillId="46" borderId="0" xfId="0" applyFont="1" applyFill="1"/>
    <xf numFmtId="0" fontId="11" fillId="0" borderId="0" xfId="0" applyFont="1" applyFill="1"/>
    <xf numFmtId="164" fontId="55" fillId="0" borderId="0" xfId="0" applyNumberFormat="1" applyFont="1"/>
    <xf numFmtId="172" fontId="24" fillId="0" borderId="0" xfId="0" applyNumberFormat="1" applyFont="1"/>
    <xf numFmtId="173" fontId="8" fillId="46" borderId="17" xfId="1215" applyNumberFormat="1" applyFont="1" applyFill="1" applyBorder="1" applyAlignment="1">
      <alignment horizontal="right" wrapText="1"/>
    </xf>
    <xf numFmtId="0" fontId="70" fillId="0" borderId="0" xfId="0" applyFont="1" applyFill="1"/>
    <xf numFmtId="0" fontId="71" fillId="0" borderId="0" xfId="0" applyFont="1" applyFill="1"/>
    <xf numFmtId="4" fontId="70" fillId="0" borderId="0" xfId="0" applyNumberFormat="1" applyFont="1" applyFill="1"/>
    <xf numFmtId="0" fontId="11" fillId="48" borderId="0" xfId="0" applyFont="1" applyFill="1"/>
    <xf numFmtId="0" fontId="9" fillId="46" borderId="0" xfId="0" applyFont="1" applyFill="1"/>
    <xf numFmtId="0" fontId="9" fillId="46" borderId="25" xfId="0" applyFont="1" applyFill="1" applyBorder="1" applyAlignment="1">
      <alignment vertical="top" wrapText="1"/>
    </xf>
    <xf numFmtId="1" fontId="9" fillId="46" borderId="25" xfId="0" applyNumberFormat="1" applyFont="1" applyFill="1" applyBorder="1" applyAlignment="1">
      <alignment vertical="top" wrapText="1"/>
    </xf>
    <xf numFmtId="3" fontId="175" fillId="0" borderId="0" xfId="0" applyNumberFormat="1" applyFont="1"/>
    <xf numFmtId="0" fontId="175" fillId="0" borderId="0" xfId="0" applyFont="1"/>
    <xf numFmtId="0" fontId="14" fillId="44" borderId="40" xfId="0" applyFont="1" applyFill="1" applyBorder="1" applyAlignment="1">
      <alignment horizontal="centerContinuous"/>
    </xf>
    <xf numFmtId="0" fontId="9" fillId="44" borderId="41" xfId="0" applyFont="1" applyFill="1" applyBorder="1" applyAlignment="1">
      <alignment horizontal="centerContinuous"/>
    </xf>
    <xf numFmtId="0" fontId="9" fillId="44" borderId="42" xfId="0" applyFont="1" applyFill="1" applyBorder="1" applyAlignment="1">
      <alignment horizontal="centerContinuous"/>
    </xf>
    <xf numFmtId="0" fontId="9" fillId="44" borderId="24" xfId="0" applyFont="1" applyFill="1" applyBorder="1"/>
    <xf numFmtId="10" fontId="9" fillId="44" borderId="39" xfId="0" applyNumberFormat="1" applyFont="1" applyFill="1" applyBorder="1" applyAlignment="1"/>
    <xf numFmtId="0" fontId="9" fillId="44" borderId="43" xfId="0" applyFont="1" applyFill="1" applyBorder="1"/>
    <xf numFmtId="169" fontId="9" fillId="44" borderId="44" xfId="0" applyNumberFormat="1" applyFont="1" applyFill="1" applyBorder="1" applyAlignment="1">
      <alignment horizontal="left"/>
    </xf>
    <xf numFmtId="49" fontId="175" fillId="44" borderId="44" xfId="0" applyNumberFormat="1" applyFont="1" applyFill="1" applyBorder="1" applyAlignment="1">
      <alignment horizontal="right"/>
    </xf>
    <xf numFmtId="169" fontId="175" fillId="44" borderId="44" xfId="0" applyNumberFormat="1" applyFont="1" applyFill="1" applyBorder="1" applyAlignment="1">
      <alignment horizontal="left"/>
    </xf>
    <xf numFmtId="0" fontId="9" fillId="44" borderId="45" xfId="0" applyFont="1" applyFill="1" applyBorder="1"/>
    <xf numFmtId="0" fontId="176" fillId="46" borderId="0" xfId="0" applyFont="1" applyFill="1" applyAlignment="1">
      <alignment horizontal="left"/>
    </xf>
    <xf numFmtId="0" fontId="177" fillId="46" borderId="0" xfId="0" applyFont="1" applyFill="1" applyAlignment="1">
      <alignment horizontal="left"/>
    </xf>
    <xf numFmtId="0" fontId="9" fillId="0" borderId="24" xfId="0" applyFont="1" applyBorder="1"/>
    <xf numFmtId="0" fontId="175" fillId="46" borderId="0" xfId="0" applyFont="1" applyFill="1" applyAlignment="1">
      <alignment horizontal="right"/>
    </xf>
    <xf numFmtId="4" fontId="175" fillId="46" borderId="0" xfId="0" applyNumberFormat="1" applyFont="1" applyFill="1" applyAlignment="1">
      <alignment horizontal="left"/>
    </xf>
    <xf numFmtId="0" fontId="175" fillId="46" borderId="0" xfId="0" applyFont="1" applyFill="1" applyAlignment="1">
      <alignment horizontal="left"/>
    </xf>
    <xf numFmtId="0" fontId="176" fillId="46" borderId="17" xfId="0" applyFont="1" applyFill="1" applyBorder="1" applyAlignment="1">
      <alignment horizontal="center" vertical="center" wrapText="1"/>
    </xf>
    <xf numFmtId="0" fontId="176" fillId="46" borderId="33" xfId="0" applyFont="1" applyFill="1" applyBorder="1" applyAlignment="1">
      <alignment horizontal="center" vertical="center" wrapText="1"/>
    </xf>
    <xf numFmtId="4" fontId="176" fillId="3" borderId="17" xfId="0" applyNumberFormat="1" applyFont="1" applyFill="1" applyBorder="1" applyAlignment="1">
      <alignment horizontal="center" vertical="top" wrapText="1"/>
    </xf>
    <xf numFmtId="4" fontId="178" fillId="49" borderId="17" xfId="0" applyNumberFormat="1" applyFont="1" applyFill="1" applyBorder="1" applyAlignment="1">
      <alignment horizontal="center" wrapText="1"/>
    </xf>
    <xf numFmtId="4" fontId="176" fillId="46" borderId="17" xfId="0" applyNumberFormat="1" applyFont="1" applyFill="1" applyBorder="1" applyAlignment="1">
      <alignment horizontal="center"/>
    </xf>
    <xf numFmtId="4" fontId="176" fillId="46" borderId="26" xfId="0" applyNumberFormat="1" applyFont="1" applyFill="1" applyBorder="1" applyAlignment="1">
      <alignment horizontal="center"/>
    </xf>
    <xf numFmtId="4" fontId="176" fillId="46" borderId="33" xfId="0" applyNumberFormat="1" applyFont="1" applyFill="1" applyBorder="1" applyAlignment="1">
      <alignment horizontal="center"/>
    </xf>
    <xf numFmtId="4" fontId="176" fillId="3" borderId="17" xfId="0" applyNumberFormat="1" applyFont="1" applyFill="1" applyBorder="1" applyAlignment="1">
      <alignment horizontal="center"/>
    </xf>
    <xf numFmtId="1" fontId="179" fillId="46" borderId="17" xfId="0" applyNumberFormat="1" applyFont="1" applyFill="1" applyBorder="1" applyAlignment="1">
      <alignment horizontal="center" vertical="center"/>
    </xf>
    <xf numFmtId="1" fontId="179" fillId="46" borderId="26" xfId="0" applyNumberFormat="1" applyFont="1" applyFill="1" applyBorder="1" applyAlignment="1">
      <alignment horizontal="center" vertical="center"/>
    </xf>
    <xf numFmtId="1" fontId="180" fillId="46" borderId="33" xfId="0" applyNumberFormat="1" applyFont="1" applyFill="1" applyBorder="1" applyAlignment="1">
      <alignment horizontal="center" vertical="center" wrapText="1"/>
    </xf>
    <xf numFmtId="1" fontId="180" fillId="0" borderId="0" xfId="0" applyNumberFormat="1" applyFont="1" applyAlignment="1">
      <alignment horizontal="center" vertical="center"/>
    </xf>
    <xf numFmtId="173" fontId="177" fillId="46" borderId="17" xfId="1215" applyNumberFormat="1" applyFont="1" applyFill="1" applyBorder="1" applyAlignment="1">
      <alignment horizontal="left" vertical="top"/>
    </xf>
    <xf numFmtId="173" fontId="9" fillId="46" borderId="26" xfId="1215" applyNumberFormat="1" applyFont="1" applyFill="1" applyBorder="1" applyAlignment="1">
      <alignment horizontal="right" vertical="top"/>
    </xf>
    <xf numFmtId="173" fontId="9" fillId="46" borderId="6" xfId="1215" applyNumberFormat="1" applyFont="1" applyFill="1" applyBorder="1" applyAlignment="1">
      <alignment horizontal="right" vertical="top"/>
    </xf>
    <xf numFmtId="173" fontId="176" fillId="3" borderId="17" xfId="1215" applyNumberFormat="1" applyFont="1" applyFill="1" applyBorder="1" applyAlignment="1">
      <alignment horizontal="right" vertical="top"/>
    </xf>
    <xf numFmtId="4" fontId="181" fillId="46" borderId="17" xfId="0" applyNumberFormat="1" applyFont="1" applyFill="1" applyBorder="1" applyAlignment="1">
      <alignment horizontal="right"/>
    </xf>
    <xf numFmtId="4" fontId="177" fillId="46" borderId="17" xfId="0" applyNumberFormat="1" applyFont="1" applyFill="1" applyBorder="1" applyAlignment="1">
      <alignment horizontal="left"/>
    </xf>
    <xf numFmtId="169" fontId="177" fillId="46" borderId="17" xfId="0" applyNumberFormat="1" applyFont="1" applyFill="1" applyBorder="1" applyAlignment="1">
      <alignment horizontal="right"/>
    </xf>
    <xf numFmtId="4" fontId="177" fillId="46" borderId="26" xfId="0" applyNumberFormat="1" applyFont="1" applyFill="1" applyBorder="1" applyAlignment="1">
      <alignment horizontal="right"/>
    </xf>
    <xf numFmtId="4" fontId="176" fillId="3" borderId="17" xfId="0" applyNumberFormat="1" applyFont="1" applyFill="1" applyBorder="1" applyAlignment="1">
      <alignment horizontal="right"/>
    </xf>
    <xf numFmtId="169" fontId="9" fillId="46" borderId="17" xfId="0" applyNumberFormat="1" applyFont="1" applyFill="1" applyBorder="1" applyAlignment="1">
      <alignment horizontal="right"/>
    </xf>
    <xf numFmtId="4" fontId="177" fillId="46" borderId="17" xfId="0" applyNumberFormat="1" applyFont="1" applyFill="1" applyBorder="1" applyAlignment="1">
      <alignment horizontal="right"/>
    </xf>
    <xf numFmtId="194" fontId="176" fillId="3" borderId="17" xfId="1215" applyNumberFormat="1" applyFont="1" applyFill="1" applyBorder="1" applyAlignment="1">
      <alignment horizontal="right" vertical="top"/>
    </xf>
    <xf numFmtId="3" fontId="175" fillId="0" borderId="17" xfId="0" applyNumberFormat="1" applyFont="1" applyBorder="1" applyAlignment="1">
      <alignment horizontal="right"/>
    </xf>
    <xf numFmtId="4" fontId="175" fillId="0" borderId="17" xfId="0" applyNumberFormat="1" applyFont="1" applyBorder="1" applyAlignment="1">
      <alignment horizontal="right"/>
    </xf>
    <xf numFmtId="0" fontId="175" fillId="46" borderId="0" xfId="0" applyFont="1" applyFill="1"/>
    <xf numFmtId="4" fontId="175" fillId="46" borderId="0" xfId="0" applyNumberFormat="1" applyFont="1" applyFill="1" applyAlignment="1">
      <alignment horizontal="right"/>
    </xf>
    <xf numFmtId="0" fontId="14" fillId="25" borderId="28" xfId="0" applyFont="1" applyFill="1" applyBorder="1" applyAlignment="1">
      <alignment horizontal="centerContinuous" wrapText="1"/>
    </xf>
    <xf numFmtId="0" fontId="9" fillId="25" borderId="29" xfId="0" applyFont="1" applyFill="1" applyBorder="1" applyAlignment="1">
      <alignment horizontal="centerContinuous" wrapText="1"/>
    </xf>
    <xf numFmtId="0" fontId="9" fillId="25" borderId="27" xfId="0" applyFont="1" applyFill="1" applyBorder="1" applyAlignment="1">
      <alignment horizontal="centerContinuous" wrapText="1"/>
    </xf>
    <xf numFmtId="0" fontId="9" fillId="25" borderId="17" xfId="0" applyFont="1" applyFill="1" applyBorder="1" applyAlignment="1">
      <alignment horizontal="right" vertical="center" wrapText="1"/>
    </xf>
    <xf numFmtId="0" fontId="9" fillId="25" borderId="17" xfId="0" applyFont="1" applyFill="1" applyBorder="1" applyAlignment="1">
      <alignment horizontal="center" vertical="center" wrapText="1"/>
    </xf>
    <xf numFmtId="0" fontId="9" fillId="25" borderId="17" xfId="0" applyFont="1" applyFill="1" applyBorder="1" applyAlignment="1">
      <alignment horizontal="right"/>
    </xf>
    <xf numFmtId="0" fontId="9" fillId="25" borderId="17" xfId="0" applyFont="1" applyFill="1" applyBorder="1"/>
    <xf numFmtId="4" fontId="9" fillId="25" borderId="17" xfId="0" applyNumberFormat="1" applyFont="1" applyFill="1" applyBorder="1" applyAlignment="1">
      <alignment horizontal="right"/>
    </xf>
    <xf numFmtId="4" fontId="9" fillId="25" borderId="17" xfId="0" applyNumberFormat="1" applyFont="1" applyFill="1" applyBorder="1"/>
    <xf numFmtId="170" fontId="9" fillId="25" borderId="17" xfId="0" applyNumberFormat="1" applyFont="1" applyFill="1" applyBorder="1" applyAlignment="1">
      <alignment horizontal="right"/>
    </xf>
    <xf numFmtId="170" fontId="9" fillId="25" borderId="17" xfId="0" applyNumberFormat="1" applyFont="1" applyFill="1" applyBorder="1"/>
    <xf numFmtId="4" fontId="9" fillId="46" borderId="29" xfId="0" applyNumberFormat="1" applyFont="1" applyFill="1" applyBorder="1" applyAlignment="1">
      <alignment horizontal="right"/>
    </xf>
    <xf numFmtId="49" fontId="9" fillId="44" borderId="17" xfId="0" applyNumberFormat="1" applyFont="1" applyFill="1" applyBorder="1" applyAlignment="1">
      <alignment horizontal="right"/>
    </xf>
    <xf numFmtId="170" fontId="9" fillId="44" borderId="33" xfId="0" applyNumberFormat="1" applyFont="1" applyFill="1" applyBorder="1"/>
    <xf numFmtId="170" fontId="9" fillId="44" borderId="17" xfId="0" applyNumberFormat="1" applyFont="1" applyFill="1" applyBorder="1"/>
    <xf numFmtId="0" fontId="14" fillId="33" borderId="28" xfId="0" applyFont="1" applyFill="1" applyBorder="1" applyAlignment="1">
      <alignment horizontal="centerContinuous" wrapText="1"/>
    </xf>
    <xf numFmtId="0" fontId="9" fillId="33" borderId="26" xfId="0" applyFont="1" applyFill="1" applyBorder="1" applyAlignment="1">
      <alignment horizontal="centerContinuous"/>
    </xf>
    <xf numFmtId="0" fontId="9" fillId="33" borderId="17" xfId="0" applyFont="1" applyFill="1" applyBorder="1" applyAlignment="1">
      <alignment horizontal="centerContinuous"/>
    </xf>
    <xf numFmtId="170" fontId="9" fillId="33" borderId="17" xfId="0" applyNumberFormat="1" applyFont="1" applyFill="1" applyBorder="1"/>
    <xf numFmtId="170" fontId="182" fillId="33" borderId="17" xfId="0" applyNumberFormat="1" applyFont="1" applyFill="1" applyBorder="1"/>
    <xf numFmtId="0" fontId="182" fillId="0" borderId="0" xfId="0" applyFont="1"/>
    <xf numFmtId="3" fontId="9" fillId="0" borderId="0" xfId="0" applyNumberFormat="1" applyFont="1"/>
    <xf numFmtId="10" fontId="183" fillId="0" borderId="0" xfId="0" applyNumberFormat="1" applyFont="1" applyAlignment="1">
      <alignment horizontal="center" vertical="center"/>
    </xf>
    <xf numFmtId="169" fontId="177" fillId="44" borderId="0" xfId="0" applyNumberFormat="1" applyFont="1" applyFill="1" applyBorder="1" applyAlignment="1">
      <alignment horizontal="left"/>
    </xf>
    <xf numFmtId="170" fontId="175" fillId="0" borderId="0" xfId="0" applyNumberFormat="1" applyFont="1"/>
    <xf numFmtId="0" fontId="62" fillId="46" borderId="0" xfId="1176" applyFont="1" applyFill="1"/>
    <xf numFmtId="0" fontId="9" fillId="46" borderId="0" xfId="0" applyFont="1" applyFill="1" applyAlignment="1">
      <alignment horizontal="right"/>
    </xf>
    <xf numFmtId="0" fontId="14" fillId="46" borderId="0" xfId="0" applyFont="1" applyFill="1"/>
    <xf numFmtId="0" fontId="49" fillId="46" borderId="0" xfId="0" applyFont="1" applyFill="1" applyAlignment="1">
      <alignment horizontal="centerContinuous"/>
    </xf>
    <xf numFmtId="0" fontId="49" fillId="46" borderId="0" xfId="0" quotePrefix="1" applyFont="1" applyFill="1" applyAlignment="1">
      <alignment horizontal="centerContinuous"/>
    </xf>
    <xf numFmtId="0" fontId="9" fillId="46" borderId="17" xfId="0" applyFont="1" applyFill="1" applyBorder="1" applyAlignment="1">
      <alignment horizontal="center" vertical="top" wrapText="1"/>
    </xf>
    <xf numFmtId="0" fontId="16" fillId="46" borderId="0" xfId="0" applyFont="1" applyFill="1"/>
    <xf numFmtId="0" fontId="9" fillId="44" borderId="29" xfId="0" applyFont="1" applyFill="1" applyBorder="1" applyAlignment="1">
      <alignment horizontal="centerContinuous"/>
    </xf>
    <xf numFmtId="4" fontId="9" fillId="44" borderId="17" xfId="0" applyNumberFormat="1" applyFont="1" applyFill="1" applyBorder="1" applyAlignment="1">
      <alignment horizontal="centerContinuous"/>
    </xf>
    <xf numFmtId="0" fontId="14" fillId="44" borderId="28" xfId="0" applyFont="1" applyFill="1" applyBorder="1" applyAlignment="1">
      <alignment horizontal="centerContinuous" wrapText="1"/>
    </xf>
    <xf numFmtId="0" fontId="59" fillId="46" borderId="0" xfId="0" applyFont="1" applyFill="1"/>
    <xf numFmtId="4" fontId="59" fillId="46" borderId="0" xfId="0" applyNumberFormat="1" applyFont="1" applyFill="1"/>
    <xf numFmtId="0" fontId="55" fillId="46" borderId="0" xfId="0" applyFont="1" applyFill="1" applyAlignment="1">
      <alignment horizontal="center"/>
    </xf>
    <xf numFmtId="0" fontId="55" fillId="46" borderId="0" xfId="0" applyFont="1" applyFill="1"/>
    <xf numFmtId="4" fontId="55" fillId="46" borderId="0" xfId="0" applyNumberFormat="1" applyFont="1" applyFill="1" applyAlignment="1">
      <alignment horizontal="center"/>
    </xf>
    <xf numFmtId="0" fontId="0" fillId="46" borderId="0" xfId="0" applyFill="1"/>
    <xf numFmtId="4" fontId="9" fillId="0" borderId="0" xfId="0" applyNumberFormat="1" applyFont="1"/>
    <xf numFmtId="170" fontId="11" fillId="46" borderId="17" xfId="0" applyNumberFormat="1" applyFont="1" applyFill="1" applyBorder="1"/>
    <xf numFmtId="170" fontId="182" fillId="0" borderId="0" xfId="0" applyNumberFormat="1" applyFont="1"/>
    <xf numFmtId="0" fontId="49" fillId="46" borderId="17" xfId="0" applyFont="1" applyFill="1" applyBorder="1" applyAlignment="1">
      <alignment wrapText="1"/>
    </xf>
    <xf numFmtId="0" fontId="9" fillId="46" borderId="0" xfId="0" applyFont="1" applyFill="1" applyAlignment="1">
      <alignment horizontal="centerContinuous"/>
    </xf>
    <xf numFmtId="195" fontId="9" fillId="46" borderId="17" xfId="1215" applyNumberFormat="1" applyFont="1" applyFill="1" applyBorder="1" applyAlignment="1">
      <alignment horizontal="right" wrapText="1"/>
    </xf>
    <xf numFmtId="2" fontId="9" fillId="46" borderId="25" xfId="0" applyNumberFormat="1" applyFont="1" applyFill="1" applyBorder="1" applyAlignment="1">
      <alignment vertical="top" wrapText="1"/>
    </xf>
    <xf numFmtId="4" fontId="9" fillId="46" borderId="25" xfId="0" applyNumberFormat="1" applyFont="1" applyFill="1" applyBorder="1" applyAlignment="1">
      <alignment vertical="top" wrapText="1"/>
    </xf>
    <xf numFmtId="194" fontId="9" fillId="46" borderId="17" xfId="1215" applyNumberFormat="1" applyFont="1" applyFill="1" applyBorder="1" applyAlignment="1">
      <alignment horizontal="right" wrapText="1"/>
    </xf>
    <xf numFmtId="0" fontId="9" fillId="46" borderId="17" xfId="1208" applyFont="1" applyFill="1" applyBorder="1" applyAlignment="1">
      <alignment horizontal="center" vertical="center" wrapText="1"/>
    </xf>
    <xf numFmtId="0" fontId="185" fillId="46" borderId="17" xfId="1208" applyFont="1" applyFill="1" applyBorder="1" applyAlignment="1">
      <alignment horizontal="left" vertical="center" wrapText="1"/>
    </xf>
    <xf numFmtId="0" fontId="185" fillId="46" borderId="17" xfId="1208" applyFont="1" applyFill="1" applyBorder="1" applyAlignment="1">
      <alignment horizontal="center" vertical="center" wrapText="1"/>
    </xf>
    <xf numFmtId="0" fontId="186" fillId="46" borderId="17" xfId="1208" applyFont="1" applyFill="1" applyBorder="1" applyAlignment="1">
      <alignment horizontal="center" vertical="center" wrapText="1"/>
    </xf>
    <xf numFmtId="170" fontId="181" fillId="49" borderId="33" xfId="0" applyNumberFormat="1" applyFont="1" applyFill="1" applyBorder="1"/>
    <xf numFmtId="4" fontId="9" fillId="28" borderId="17" xfId="0" applyNumberFormat="1" applyFont="1" applyFill="1" applyBorder="1" applyAlignment="1">
      <alignment horizontal="center" wrapText="1"/>
    </xf>
    <xf numFmtId="10" fontId="9" fillId="44" borderId="43" xfId="0" applyNumberFormat="1" applyFont="1" applyFill="1" applyBorder="1" applyAlignment="1">
      <alignment horizontal="right"/>
    </xf>
    <xf numFmtId="10" fontId="9" fillId="44" borderId="43" xfId="0" applyNumberFormat="1" applyFont="1" applyFill="1" applyBorder="1" applyAlignment="1"/>
    <xf numFmtId="170" fontId="182" fillId="48" borderId="17" xfId="0" applyNumberFormat="1" applyFont="1" applyFill="1" applyBorder="1"/>
    <xf numFmtId="170" fontId="178" fillId="49" borderId="17" xfId="0" applyNumberFormat="1" applyFont="1" applyFill="1" applyBorder="1"/>
    <xf numFmtId="3" fontId="176" fillId="34" borderId="0" xfId="0" applyNumberFormat="1" applyFont="1" applyFill="1"/>
    <xf numFmtId="0" fontId="11" fillId="46" borderId="0" xfId="0" applyFont="1" applyFill="1" applyAlignment="1">
      <alignment horizontal="centerContinuous"/>
    </xf>
    <xf numFmtId="0" fontId="56" fillId="46" borderId="0" xfId="0" applyFont="1" applyFill="1"/>
    <xf numFmtId="0" fontId="49" fillId="0" borderId="17" xfId="0" applyFont="1" applyBorder="1" applyAlignment="1">
      <alignment horizontal="center" vertical="top" wrapText="1"/>
    </xf>
    <xf numFmtId="4" fontId="11" fillId="28" borderId="17" xfId="0" applyNumberFormat="1" applyFont="1" applyFill="1" applyBorder="1" applyAlignment="1">
      <alignment horizontal="center" wrapText="1"/>
    </xf>
    <xf numFmtId="4" fontId="11" fillId="0" borderId="17" xfId="0" applyNumberFormat="1" applyFont="1" applyBorder="1" applyAlignment="1">
      <alignment horizontal="center" wrapText="1"/>
    </xf>
    <xf numFmtId="3" fontId="56" fillId="46" borderId="0" xfId="0" applyNumberFormat="1" applyFont="1" applyFill="1"/>
    <xf numFmtId="0" fontId="56" fillId="46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1" fillId="46" borderId="0" xfId="0" applyFont="1" applyFill="1" applyAlignment="1">
      <alignment horizontal="center"/>
    </xf>
    <xf numFmtId="0" fontId="11" fillId="0" borderId="17" xfId="0" applyFont="1" applyBorder="1" applyAlignment="1">
      <alignment horizontal="center" wrapText="1"/>
    </xf>
    <xf numFmtId="3" fontId="11" fillId="0" borderId="0" xfId="0" applyNumberFormat="1" applyFont="1"/>
    <xf numFmtId="4" fontId="11" fillId="28" borderId="0" xfId="0" applyNumberFormat="1" applyFont="1" applyFill="1" applyBorder="1" applyAlignment="1">
      <alignment horizontal="center" wrapText="1"/>
    </xf>
    <xf numFmtId="4" fontId="11" fillId="0" borderId="0" xfId="0" applyNumberFormat="1" applyFont="1" applyBorder="1" applyAlignment="1">
      <alignment horizontal="center" wrapText="1"/>
    </xf>
    <xf numFmtId="0" fontId="11" fillId="0" borderId="21" xfId="0" applyFont="1" applyBorder="1" applyAlignment="1">
      <alignment horizontal="centerContinuous"/>
    </xf>
    <xf numFmtId="0" fontId="11" fillId="0" borderId="46" xfId="0" applyFont="1" applyBorder="1" applyAlignment="1">
      <alignment horizontal="centerContinuous"/>
    </xf>
    <xf numFmtId="0" fontId="11" fillId="0" borderId="47" xfId="0" applyFont="1" applyBorder="1" applyAlignment="1">
      <alignment horizontal="centerContinuous"/>
    </xf>
    <xf numFmtId="0" fontId="49" fillId="0" borderId="49" xfId="0" applyFont="1" applyBorder="1" applyAlignment="1">
      <alignment horizontal="centerContinuous"/>
    </xf>
    <xf numFmtId="0" fontId="11" fillId="0" borderId="50" xfId="0" applyFont="1" applyBorder="1" applyAlignment="1">
      <alignment horizontal="centerContinuous"/>
    </xf>
    <xf numFmtId="0" fontId="49" fillId="46" borderId="50" xfId="0" applyFont="1" applyFill="1" applyBorder="1" applyAlignment="1">
      <alignment horizontal="centerContinuous"/>
    </xf>
    <xf numFmtId="0" fontId="11" fillId="46" borderId="50" xfId="0" applyFont="1" applyFill="1" applyBorder="1" applyAlignment="1">
      <alignment horizontal="centerContinuous"/>
    </xf>
    <xf numFmtId="0" fontId="11" fillId="46" borderId="51" xfId="0" applyFont="1" applyFill="1" applyBorder="1" applyAlignment="1">
      <alignment horizontal="centerContinuous"/>
    </xf>
    <xf numFmtId="0" fontId="51" fillId="0" borderId="32" xfId="0" applyFont="1" applyBorder="1" applyAlignment="1">
      <alignment horizontal="centerContinuous" vertical="center"/>
    </xf>
    <xf numFmtId="0" fontId="51" fillId="0" borderId="17" xfId="0" applyFont="1" applyBorder="1" applyAlignment="1">
      <alignment horizontal="centerContinuous" vertical="center"/>
    </xf>
    <xf numFmtId="0" fontId="51" fillId="0" borderId="34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Continuous" vertical="center"/>
    </xf>
    <xf numFmtId="0" fontId="49" fillId="0" borderId="46" xfId="0" applyFont="1" applyBorder="1" applyAlignment="1">
      <alignment horizontal="centerContinuous" vertical="center"/>
    </xf>
    <xf numFmtId="0" fontId="49" fillId="0" borderId="47" xfId="0" applyFont="1" applyBorder="1" applyAlignment="1">
      <alignment horizontal="centerContinuous" vertical="center"/>
    </xf>
    <xf numFmtId="0" fontId="49" fillId="46" borderId="46" xfId="0" applyFont="1" applyFill="1" applyBorder="1" applyAlignment="1">
      <alignment horizontal="centerContinuous" vertical="center"/>
    </xf>
    <xf numFmtId="0" fontId="51" fillId="0" borderId="33" xfId="0" applyFont="1" applyBorder="1" applyAlignment="1">
      <alignment horizontal="center" vertical="top" wrapText="1"/>
    </xf>
    <xf numFmtId="0" fontId="9" fillId="0" borderId="32" xfId="0" applyFont="1" applyBorder="1" applyAlignment="1">
      <alignment horizontal="center" vertical="top" wrapText="1"/>
    </xf>
    <xf numFmtId="0" fontId="9" fillId="0" borderId="34" xfId="0" applyFont="1" applyBorder="1" applyAlignment="1">
      <alignment horizontal="center" vertical="top" wrapText="1"/>
    </xf>
    <xf numFmtId="0" fontId="51" fillId="0" borderId="32" xfId="0" applyFont="1" applyBorder="1" applyAlignment="1">
      <alignment horizontal="center" vertical="top" wrapText="1"/>
    </xf>
    <xf numFmtId="0" fontId="51" fillId="0" borderId="34" xfId="0" applyFont="1" applyBorder="1" applyAlignment="1">
      <alignment horizontal="center" vertical="top" wrapText="1"/>
    </xf>
    <xf numFmtId="0" fontId="51" fillId="46" borderId="32" xfId="0" applyFont="1" applyFill="1" applyBorder="1" applyAlignment="1">
      <alignment horizontal="center" vertical="top" wrapText="1"/>
    </xf>
    <xf numFmtId="0" fontId="51" fillId="46" borderId="17" xfId="0" applyFont="1" applyFill="1" applyBorder="1" applyAlignment="1">
      <alignment horizontal="center" vertical="top" wrapText="1"/>
    </xf>
    <xf numFmtId="0" fontId="51" fillId="46" borderId="34" xfId="0" applyFont="1" applyFill="1" applyBorder="1" applyAlignment="1">
      <alignment horizontal="center" vertical="top" wrapText="1"/>
    </xf>
    <xf numFmtId="0" fontId="51" fillId="0" borderId="0" xfId="0" applyFont="1" applyAlignment="1">
      <alignment horizontal="center" vertical="top" wrapText="1"/>
    </xf>
    <xf numFmtId="0" fontId="95" fillId="0" borderId="31" xfId="0" applyFont="1" applyBorder="1" applyAlignment="1">
      <alignment horizontal="center"/>
    </xf>
    <xf numFmtId="0" fontId="95" fillId="46" borderId="22" xfId="0" applyFont="1" applyFill="1" applyBorder="1" applyAlignment="1">
      <alignment horizontal="center" vertical="center"/>
    </xf>
    <xf numFmtId="0" fontId="95" fillId="46" borderId="17" xfId="0" applyFont="1" applyFill="1" applyBorder="1" applyAlignment="1">
      <alignment horizontal="center" vertical="top" wrapText="1"/>
    </xf>
    <xf numFmtId="0" fontId="95" fillId="46" borderId="33" xfId="0" applyFont="1" applyFill="1" applyBorder="1" applyAlignment="1">
      <alignment horizontal="center" vertical="top" wrapText="1"/>
    </xf>
    <xf numFmtId="0" fontId="95" fillId="46" borderId="32" xfId="0" applyFont="1" applyFill="1" applyBorder="1" applyAlignment="1">
      <alignment horizontal="center" vertical="top" wrapText="1"/>
    </xf>
    <xf numFmtId="0" fontId="95" fillId="46" borderId="34" xfId="0" applyFont="1" applyFill="1" applyBorder="1" applyAlignment="1">
      <alignment horizontal="center" vertical="top" wrapText="1"/>
    </xf>
    <xf numFmtId="0" fontId="95" fillId="0" borderId="32" xfId="0" applyFont="1" applyBorder="1" applyAlignment="1">
      <alignment horizontal="center" vertical="top" wrapText="1"/>
    </xf>
    <xf numFmtId="0" fontId="95" fillId="0" borderId="17" xfId="0" applyFont="1" applyBorder="1" applyAlignment="1">
      <alignment horizontal="center" vertical="top" wrapText="1"/>
    </xf>
    <xf numFmtId="0" fontId="95" fillId="0" borderId="34" xfId="0" applyFont="1" applyBorder="1" applyAlignment="1">
      <alignment horizontal="center" vertical="top" wrapText="1"/>
    </xf>
    <xf numFmtId="170" fontId="24" fillId="0" borderId="0" xfId="0" applyNumberFormat="1" applyFont="1" applyBorder="1"/>
    <xf numFmtId="170" fontId="24" fillId="0" borderId="48" xfId="0" applyNumberFormat="1" applyFont="1" applyBorder="1"/>
    <xf numFmtId="0" fontId="95" fillId="0" borderId="0" xfId="0" applyFont="1" applyAlignment="1">
      <alignment horizontal="center" vertical="top" wrapText="1"/>
    </xf>
    <xf numFmtId="0" fontId="49" fillId="0" borderId="32" xfId="0" applyFont="1" applyBorder="1" applyAlignment="1">
      <alignment horizontal="center"/>
    </xf>
    <xf numFmtId="0" fontId="11" fillId="46" borderId="17" xfId="0" applyFont="1" applyFill="1" applyBorder="1"/>
    <xf numFmtId="0" fontId="11" fillId="46" borderId="33" xfId="0" applyFont="1" applyFill="1" applyBorder="1"/>
    <xf numFmtId="0" fontId="11" fillId="46" borderId="32" xfId="0" applyFont="1" applyFill="1" applyBorder="1"/>
    <xf numFmtId="0" fontId="11" fillId="46" borderId="34" xfId="0" applyFont="1" applyFill="1" applyBorder="1"/>
    <xf numFmtId="170" fontId="187" fillId="48" borderId="32" xfId="0" applyNumberFormat="1" applyFont="1" applyFill="1" applyBorder="1"/>
    <xf numFmtId="170" fontId="187" fillId="48" borderId="17" xfId="0" applyNumberFormat="1" applyFont="1" applyFill="1" applyBorder="1"/>
    <xf numFmtId="170" fontId="11" fillId="48" borderId="34" xfId="0" applyNumberFormat="1" applyFont="1" applyFill="1" applyBorder="1"/>
    <xf numFmtId="169" fontId="11" fillId="46" borderId="32" xfId="0" applyNumberFormat="1" applyFont="1" applyFill="1" applyBorder="1"/>
    <xf numFmtId="169" fontId="11" fillId="46" borderId="17" xfId="0" applyNumberFormat="1" applyFont="1" applyFill="1" applyBorder="1"/>
    <xf numFmtId="170" fontId="46" fillId="46" borderId="34" xfId="0" applyNumberFormat="1" applyFont="1" applyFill="1" applyBorder="1"/>
    <xf numFmtId="0" fontId="11" fillId="0" borderId="32" xfId="0" applyFont="1" applyBorder="1"/>
    <xf numFmtId="0" fontId="11" fillId="46" borderId="35" xfId="0" applyFont="1" applyFill="1" applyBorder="1"/>
    <xf numFmtId="0" fontId="11" fillId="46" borderId="37" xfId="0" applyFont="1" applyFill="1" applyBorder="1"/>
    <xf numFmtId="0" fontId="11" fillId="46" borderId="38" xfId="0" applyFont="1" applyFill="1" applyBorder="1"/>
    <xf numFmtId="170" fontId="11" fillId="48" borderId="17" xfId="0" applyNumberFormat="1" applyFont="1" applyFill="1" applyBorder="1"/>
    <xf numFmtId="170" fontId="11" fillId="46" borderId="32" xfId="0" applyNumberFormat="1" applyFont="1" applyFill="1" applyBorder="1"/>
    <xf numFmtId="170" fontId="11" fillId="46" borderId="34" xfId="0" applyNumberFormat="1" applyFont="1" applyFill="1" applyBorder="1"/>
    <xf numFmtId="0" fontId="11" fillId="0" borderId="52" xfId="0" applyFont="1" applyBorder="1"/>
    <xf numFmtId="0" fontId="11" fillId="46" borderId="23" xfId="0" applyFont="1" applyFill="1" applyBorder="1"/>
    <xf numFmtId="0" fontId="11" fillId="46" borderId="28" xfId="0" applyFont="1" applyFill="1" applyBorder="1"/>
    <xf numFmtId="0" fontId="11" fillId="46" borderId="53" xfId="0" applyFont="1" applyFill="1" applyBorder="1"/>
    <xf numFmtId="0" fontId="11" fillId="46" borderId="20" xfId="0" applyFont="1" applyFill="1" applyBorder="1"/>
    <xf numFmtId="0" fontId="11" fillId="46" borderId="54" xfId="0" applyFont="1" applyFill="1" applyBorder="1"/>
    <xf numFmtId="1" fontId="49" fillId="48" borderId="52" xfId="0" applyNumberFormat="1" applyFont="1" applyFill="1" applyBorder="1" applyAlignment="1">
      <alignment horizontal="centerContinuous"/>
    </xf>
    <xf numFmtId="1" fontId="46" fillId="48" borderId="23" xfId="0" applyNumberFormat="1" applyFont="1" applyFill="1" applyBorder="1" applyAlignment="1">
      <alignment horizontal="centerContinuous"/>
    </xf>
    <xf numFmtId="1" fontId="46" fillId="48" borderId="55" xfId="0" applyNumberFormat="1" applyFont="1" applyFill="1" applyBorder="1" applyAlignment="1">
      <alignment horizontal="centerContinuous"/>
    </xf>
    <xf numFmtId="1" fontId="49" fillId="46" borderId="52" xfId="0" applyNumberFormat="1" applyFont="1" applyFill="1" applyBorder="1" applyAlignment="1">
      <alignment horizontal="centerContinuous"/>
    </xf>
    <xf numFmtId="1" fontId="46" fillId="46" borderId="23" xfId="0" applyNumberFormat="1" applyFont="1" applyFill="1" applyBorder="1" applyAlignment="1">
      <alignment horizontal="centerContinuous"/>
    </xf>
    <xf numFmtId="1" fontId="46" fillId="46" borderId="55" xfId="0" applyNumberFormat="1" applyFont="1" applyFill="1" applyBorder="1" applyAlignment="1">
      <alignment horizontal="centerContinuous"/>
    </xf>
    <xf numFmtId="0" fontId="11" fillId="46" borderId="56" xfId="0" applyFont="1" applyFill="1" applyBorder="1"/>
    <xf numFmtId="0" fontId="11" fillId="46" borderId="57" xfId="0" applyFont="1" applyFill="1" applyBorder="1"/>
    <xf numFmtId="0" fontId="11" fillId="46" borderId="58" xfId="0" applyFont="1" applyFill="1" applyBorder="1"/>
    <xf numFmtId="170" fontId="49" fillId="46" borderId="21" xfId="0" applyNumberFormat="1" applyFont="1" applyFill="1" applyBorder="1" applyAlignment="1">
      <alignment horizontal="centerContinuous"/>
    </xf>
    <xf numFmtId="170" fontId="49" fillId="46" borderId="46" xfId="0" applyNumberFormat="1" applyFont="1" applyFill="1" applyBorder="1" applyAlignment="1">
      <alignment horizontal="centerContinuous"/>
    </xf>
    <xf numFmtId="170" fontId="49" fillId="46" borderId="47" xfId="0" applyNumberFormat="1" applyFont="1" applyFill="1" applyBorder="1" applyAlignment="1">
      <alignment horizontal="centerContinuous"/>
    </xf>
    <xf numFmtId="170" fontId="49" fillId="46" borderId="21" xfId="0" applyNumberFormat="1" applyFont="1" applyFill="1" applyBorder="1" applyAlignment="1">
      <alignment horizontal="centerContinuous" wrapText="1"/>
    </xf>
    <xf numFmtId="0" fontId="11" fillId="46" borderId="58" xfId="0" applyFont="1" applyFill="1" applyBorder="1" applyAlignment="1">
      <alignment horizontal="centerContinuous"/>
    </xf>
    <xf numFmtId="0" fontId="11" fillId="46" borderId="59" xfId="0" applyFont="1" applyFill="1" applyBorder="1"/>
    <xf numFmtId="0" fontId="11" fillId="46" borderId="24" xfId="0" applyFont="1" applyFill="1" applyBorder="1"/>
    <xf numFmtId="0" fontId="11" fillId="46" borderId="60" xfId="0" applyFont="1" applyFill="1" applyBorder="1"/>
    <xf numFmtId="170" fontId="49" fillId="46" borderId="32" xfId="0" applyNumberFormat="1" applyFont="1" applyFill="1" applyBorder="1"/>
    <xf numFmtId="170" fontId="49" fillId="46" borderId="17" xfId="0" applyNumberFormat="1" applyFont="1" applyFill="1" applyBorder="1"/>
    <xf numFmtId="170" fontId="49" fillId="46" borderId="34" xfId="0" applyNumberFormat="1" applyFont="1" applyFill="1" applyBorder="1"/>
    <xf numFmtId="169" fontId="11" fillId="46" borderId="17" xfId="0" applyNumberFormat="1" applyFont="1" applyFill="1" applyBorder="1" applyAlignment="1">
      <alignment horizontal="center"/>
    </xf>
    <xf numFmtId="0" fontId="51" fillId="46" borderId="17" xfId="0" applyFont="1" applyFill="1" applyBorder="1"/>
    <xf numFmtId="4" fontId="11" fillId="46" borderId="32" xfId="0" applyNumberFormat="1" applyFont="1" applyFill="1" applyBorder="1" applyAlignment="1">
      <alignment horizontal="center" wrapText="1"/>
    </xf>
    <xf numFmtId="4" fontId="11" fillId="46" borderId="17" xfId="0" applyNumberFormat="1" applyFont="1" applyFill="1" applyBorder="1" applyAlignment="1">
      <alignment horizontal="center" wrapText="1"/>
    </xf>
    <xf numFmtId="4" fontId="11" fillId="46" borderId="34" xfId="0" applyNumberFormat="1" applyFont="1" applyFill="1" applyBorder="1" applyAlignment="1">
      <alignment horizontal="center" wrapText="1"/>
    </xf>
    <xf numFmtId="0" fontId="51" fillId="46" borderId="17" xfId="0" applyFont="1" applyFill="1" applyBorder="1" applyAlignment="1">
      <alignment wrapText="1"/>
    </xf>
    <xf numFmtId="169" fontId="11" fillId="46" borderId="37" xfId="0" applyNumberFormat="1" applyFont="1" applyFill="1" applyBorder="1" applyAlignment="1">
      <alignment horizontal="center"/>
    </xf>
    <xf numFmtId="169" fontId="11" fillId="46" borderId="36" xfId="0" applyNumberFormat="1" applyFont="1" applyFill="1" applyBorder="1" applyAlignment="1">
      <alignment horizontal="center"/>
    </xf>
    <xf numFmtId="170" fontId="11" fillId="46" borderId="35" xfId="0" applyNumberFormat="1" applyFont="1" applyFill="1" applyBorder="1"/>
    <xf numFmtId="170" fontId="11" fillId="46" borderId="37" xfId="0" applyNumberFormat="1" applyFont="1" applyFill="1" applyBorder="1"/>
    <xf numFmtId="170" fontId="11" fillId="46" borderId="38" xfId="0" applyNumberFormat="1" applyFont="1" applyFill="1" applyBorder="1"/>
    <xf numFmtId="169" fontId="11" fillId="46" borderId="22" xfId="0" applyNumberFormat="1" applyFont="1" applyFill="1" applyBorder="1" applyAlignment="1">
      <alignment horizontal="centerContinuous" vertical="center"/>
    </xf>
    <xf numFmtId="170" fontId="49" fillId="46" borderId="31" xfId="0" applyNumberFormat="1" applyFont="1" applyFill="1" applyBorder="1" applyAlignment="1">
      <alignment horizontal="centerContinuous"/>
    </xf>
    <xf numFmtId="170" fontId="49" fillId="46" borderId="22" xfId="0" applyNumberFormat="1" applyFont="1" applyFill="1" applyBorder="1" applyAlignment="1">
      <alignment horizontal="centerContinuous"/>
    </xf>
    <xf numFmtId="170" fontId="49" fillId="46" borderId="61" xfId="0" applyNumberFormat="1" applyFont="1" applyFill="1" applyBorder="1" applyAlignment="1">
      <alignment horizontal="centerContinuous"/>
    </xf>
    <xf numFmtId="0" fontId="9" fillId="46" borderId="17" xfId="0" applyFont="1" applyFill="1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1" fillId="0" borderId="35" xfId="0" applyFont="1" applyBorder="1" applyAlignment="1">
      <alignment horizontal="center"/>
    </xf>
    <xf numFmtId="4" fontId="11" fillId="0" borderId="0" xfId="0" applyNumberFormat="1" applyFont="1"/>
    <xf numFmtId="4" fontId="11" fillId="44" borderId="0" xfId="0" applyNumberFormat="1" applyFont="1" applyFill="1"/>
    <xf numFmtId="3" fontId="11" fillId="44" borderId="0" xfId="0" applyNumberFormat="1" applyFont="1" applyFill="1"/>
    <xf numFmtId="4" fontId="9" fillId="46" borderId="17" xfId="0" applyNumberFormat="1" applyFont="1" applyFill="1" applyBorder="1" applyAlignment="1">
      <alignment horizontal="right"/>
    </xf>
    <xf numFmtId="168" fontId="175" fillId="46" borderId="0" xfId="0" applyNumberFormat="1" applyFont="1" applyFill="1" applyAlignment="1">
      <alignment horizontal="right"/>
    </xf>
    <xf numFmtId="1" fontId="180" fillId="46" borderId="17" xfId="0" applyNumberFormat="1" applyFont="1" applyFill="1" applyBorder="1" applyAlignment="1">
      <alignment horizontal="center" vertical="center"/>
    </xf>
    <xf numFmtId="1" fontId="180" fillId="3" borderId="17" xfId="0" applyNumberFormat="1" applyFont="1" applyFill="1" applyBorder="1" applyAlignment="1">
      <alignment horizontal="center" vertical="center" wrapText="1"/>
    </xf>
    <xf numFmtId="4" fontId="175" fillId="46" borderId="26" xfId="0" applyNumberFormat="1" applyFont="1" applyFill="1" applyBorder="1" applyAlignment="1">
      <alignment horizontal="center"/>
    </xf>
    <xf numFmtId="4" fontId="182" fillId="46" borderId="17" xfId="0" applyNumberFormat="1" applyFont="1" applyFill="1" applyBorder="1" applyAlignment="1">
      <alignment horizontal="left"/>
    </xf>
    <xf numFmtId="4" fontId="175" fillId="3" borderId="17" xfId="0" applyNumberFormat="1" applyFont="1" applyFill="1" applyBorder="1" applyAlignment="1">
      <alignment horizontal="right"/>
    </xf>
    <xf numFmtId="4" fontId="182" fillId="46" borderId="17" xfId="0" applyNumberFormat="1" applyFont="1" applyFill="1" applyBorder="1" applyAlignment="1">
      <alignment horizontal="right"/>
    </xf>
    <xf numFmtId="49" fontId="9" fillId="46" borderId="0" xfId="0" applyNumberFormat="1" applyFont="1" applyFill="1" applyBorder="1" applyAlignment="1"/>
    <xf numFmtId="0" fontId="177" fillId="0" borderId="0" xfId="0" applyFont="1"/>
    <xf numFmtId="169" fontId="175" fillId="46" borderId="0" xfId="0" applyNumberFormat="1" applyFont="1" applyFill="1" applyAlignment="1">
      <alignment horizontal="right"/>
    </xf>
    <xf numFmtId="0" fontId="97" fillId="46" borderId="0" xfId="0" applyFont="1" applyFill="1"/>
    <xf numFmtId="0" fontId="97" fillId="46" borderId="0" xfId="0" applyFont="1" applyFill="1" applyAlignment="1">
      <alignment horizontal="right"/>
    </xf>
    <xf numFmtId="0" fontId="97" fillId="28" borderId="0" xfId="0" applyFont="1" applyFill="1"/>
    <xf numFmtId="170" fontId="182" fillId="25" borderId="17" xfId="0" applyNumberFormat="1" applyFont="1" applyFill="1" applyBorder="1" applyAlignment="1">
      <alignment horizontal="right"/>
    </xf>
    <xf numFmtId="4" fontId="175" fillId="43" borderId="17" xfId="0" applyNumberFormat="1" applyFont="1" applyFill="1" applyBorder="1" applyAlignment="1">
      <alignment horizontal="right"/>
    </xf>
    <xf numFmtId="170" fontId="182" fillId="43" borderId="29" xfId="0" applyNumberFormat="1" applyFont="1" applyFill="1" applyBorder="1"/>
    <xf numFmtId="4" fontId="177" fillId="46" borderId="17" xfId="0" applyNumberFormat="1" applyFont="1" applyFill="1" applyBorder="1" applyAlignment="1">
      <alignment horizontal="left" wrapText="1"/>
    </xf>
    <xf numFmtId="194" fontId="177" fillId="46" borderId="6" xfId="1215" applyNumberFormat="1" applyFont="1" applyFill="1" applyBorder="1" applyAlignment="1">
      <alignment horizontal="right"/>
    </xf>
    <xf numFmtId="0" fontId="11" fillId="46" borderId="22" xfId="0" applyFont="1" applyFill="1" applyBorder="1"/>
    <xf numFmtId="0" fontId="11" fillId="0" borderId="52" xfId="0" applyFont="1" applyBorder="1" applyAlignment="1">
      <alignment horizontal="center"/>
    </xf>
    <xf numFmtId="169" fontId="11" fillId="46" borderId="30" xfId="0" applyNumberFormat="1" applyFont="1" applyFill="1" applyBorder="1" applyAlignment="1">
      <alignment horizontal="centerContinuous" vertical="center"/>
    </xf>
    <xf numFmtId="0" fontId="51" fillId="46" borderId="33" xfId="0" applyFont="1" applyFill="1" applyBorder="1" applyAlignment="1">
      <alignment horizontal="center" vertical="top" wrapText="1"/>
    </xf>
    <xf numFmtId="169" fontId="11" fillId="46" borderId="31" xfId="0" applyNumberFormat="1" applyFont="1" applyFill="1" applyBorder="1" applyAlignment="1">
      <alignment horizontal="centerContinuous" vertical="center"/>
    </xf>
    <xf numFmtId="0" fontId="9" fillId="46" borderId="32" xfId="0" applyFont="1" applyFill="1" applyBorder="1" applyAlignment="1">
      <alignment horizontal="center"/>
    </xf>
    <xf numFmtId="0" fontId="0" fillId="46" borderId="0" xfId="0" applyFill="1" applyAlignment="1"/>
    <xf numFmtId="0" fontId="0" fillId="46" borderId="0" xfId="0" applyFont="1" applyFill="1" applyAlignment="1">
      <alignment vertical="center"/>
    </xf>
    <xf numFmtId="0" fontId="9" fillId="28" borderId="0" xfId="0" applyFont="1" applyFill="1"/>
    <xf numFmtId="0" fontId="97" fillId="28" borderId="0" xfId="0" applyFont="1" applyFill="1" applyAlignment="1">
      <alignment horizontal="left"/>
    </xf>
    <xf numFmtId="0" fontId="97" fillId="28" borderId="0" xfId="0" applyFont="1" applyFill="1" applyAlignment="1"/>
    <xf numFmtId="0" fontId="182" fillId="0" borderId="17" xfId="0" applyFont="1" applyBorder="1" applyAlignment="1">
      <alignment horizontal="center" vertical="top" wrapText="1"/>
    </xf>
    <xf numFmtId="4" fontId="182" fillId="28" borderId="17" xfId="0" applyNumberFormat="1" applyFont="1" applyFill="1" applyBorder="1" applyAlignment="1">
      <alignment horizontal="center" wrapText="1"/>
    </xf>
    <xf numFmtId="4" fontId="95" fillId="46" borderId="29" xfId="0" applyNumberFormat="1" applyFont="1" applyFill="1" applyBorder="1" applyAlignment="1">
      <alignment horizontal="left"/>
    </xf>
    <xf numFmtId="4" fontId="95" fillId="46" borderId="29" xfId="0" applyNumberFormat="1" applyFont="1" applyFill="1" applyBorder="1"/>
    <xf numFmtId="170" fontId="95" fillId="0" borderId="0" xfId="0" applyNumberFormat="1" applyFont="1"/>
    <xf numFmtId="168" fontId="16" fillId="46" borderId="0" xfId="0" applyNumberFormat="1" applyFont="1" applyFill="1"/>
    <xf numFmtId="10" fontId="181" fillId="50" borderId="43" xfId="0" applyNumberFormat="1" applyFont="1" applyFill="1" applyBorder="1" applyAlignment="1"/>
    <xf numFmtId="169" fontId="181" fillId="50" borderId="0" xfId="0" applyNumberFormat="1" applyFont="1" applyFill="1" applyBorder="1" applyAlignment="1">
      <alignment horizontal="left"/>
    </xf>
    <xf numFmtId="10" fontId="181" fillId="50" borderId="39" xfId="0" applyNumberFormat="1" applyFont="1" applyFill="1" applyBorder="1" applyAlignment="1"/>
    <xf numFmtId="10" fontId="9" fillId="44" borderId="62" xfId="0" applyNumberFormat="1" applyFont="1" applyFill="1" applyBorder="1" applyAlignment="1"/>
    <xf numFmtId="0" fontId="14" fillId="44" borderId="63" xfId="0" applyFont="1" applyFill="1" applyBorder="1" applyAlignment="1">
      <alignment horizontal="centerContinuous"/>
    </xf>
    <xf numFmtId="0" fontId="9" fillId="44" borderId="30" xfId="0" applyFont="1" applyFill="1" applyBorder="1"/>
    <xf numFmtId="10" fontId="9" fillId="44" borderId="48" xfId="0" applyNumberFormat="1" applyFont="1" applyFill="1" applyBorder="1" applyAlignment="1"/>
    <xf numFmtId="10" fontId="182" fillId="44" borderId="48" xfId="0" applyNumberFormat="1" applyFont="1" applyFill="1" applyBorder="1" applyAlignment="1"/>
    <xf numFmtId="10" fontId="181" fillId="50" borderId="48" xfId="0" applyNumberFormat="1" applyFont="1" applyFill="1" applyBorder="1" applyAlignment="1">
      <alignment wrapText="1"/>
    </xf>
    <xf numFmtId="49" fontId="9" fillId="44" borderId="64" xfId="0" applyNumberFormat="1" applyFont="1" applyFill="1" applyBorder="1" applyAlignment="1"/>
    <xf numFmtId="3" fontId="175" fillId="46" borderId="0" xfId="0" applyNumberFormat="1" applyFont="1" applyFill="1"/>
    <xf numFmtId="0" fontId="187" fillId="0" borderId="0" xfId="0" applyFont="1"/>
    <xf numFmtId="169" fontId="9" fillId="0" borderId="0" xfId="0" applyNumberFormat="1" applyFont="1" applyAlignment="1">
      <alignment horizontal="left"/>
    </xf>
    <xf numFmtId="10" fontId="9" fillId="44" borderId="65" xfId="0" applyNumberFormat="1" applyFont="1" applyFill="1" applyBorder="1" applyAlignment="1">
      <alignment horizontal="center" wrapText="1"/>
    </xf>
    <xf numFmtId="167" fontId="175" fillId="46" borderId="0" xfId="0" applyNumberFormat="1" applyFont="1" applyFill="1" applyAlignment="1">
      <alignment horizontal="right"/>
    </xf>
    <xf numFmtId="171" fontId="9" fillId="46" borderId="17" xfId="0" applyNumberFormat="1" applyFont="1" applyFill="1" applyBorder="1" applyAlignment="1">
      <alignment horizontal="right"/>
    </xf>
    <xf numFmtId="4" fontId="181" fillId="50" borderId="17" xfId="0" applyNumberFormat="1" applyFont="1" applyFill="1" applyBorder="1" applyAlignment="1">
      <alignment horizontal="right"/>
    </xf>
    <xf numFmtId="0" fontId="181" fillId="50" borderId="0" xfId="0" applyFont="1" applyFill="1"/>
    <xf numFmtId="196" fontId="9" fillId="46" borderId="17" xfId="0" applyNumberFormat="1" applyFont="1" applyFill="1" applyBorder="1" applyAlignment="1">
      <alignment horizontal="right"/>
    </xf>
    <xf numFmtId="196" fontId="175" fillId="46" borderId="0" xfId="0" applyNumberFormat="1" applyFont="1" applyFill="1" applyAlignment="1">
      <alignment horizontal="right"/>
    </xf>
    <xf numFmtId="170" fontId="180" fillId="0" borderId="0" xfId="0" applyNumberFormat="1" applyFont="1"/>
    <xf numFmtId="0" fontId="187" fillId="0" borderId="35" xfId="0" applyFont="1" applyBorder="1"/>
    <xf numFmtId="0" fontId="188" fillId="46" borderId="0" xfId="0" applyFont="1" applyFill="1"/>
    <xf numFmtId="0" fontId="189" fillId="46" borderId="0" xfId="0" applyFont="1" applyFill="1" applyAlignment="1">
      <alignment horizontal="left"/>
    </xf>
    <xf numFmtId="170" fontId="11" fillId="46" borderId="26" xfId="0" applyNumberFormat="1" applyFont="1" applyFill="1" applyBorder="1"/>
    <xf numFmtId="4" fontId="11" fillId="46" borderId="35" xfId="0" applyNumberFormat="1" applyFont="1" applyFill="1" applyBorder="1" applyAlignment="1">
      <alignment horizontal="center" wrapText="1"/>
    </xf>
    <xf numFmtId="4" fontId="11" fillId="46" borderId="37" xfId="0" applyNumberFormat="1" applyFont="1" applyFill="1" applyBorder="1" applyAlignment="1">
      <alignment horizontal="center" wrapText="1"/>
    </xf>
    <xf numFmtId="4" fontId="11" fillId="46" borderId="38" xfId="0" applyNumberFormat="1" applyFont="1" applyFill="1" applyBorder="1" applyAlignment="1">
      <alignment horizontal="center" wrapText="1"/>
    </xf>
    <xf numFmtId="164" fontId="0" fillId="0" borderId="0" xfId="0" applyNumberFormat="1"/>
    <xf numFmtId="0" fontId="9" fillId="46" borderId="17" xfId="0" applyFont="1" applyFill="1" applyBorder="1" applyAlignment="1">
      <alignment horizontal="center" wrapText="1"/>
    </xf>
    <xf numFmtId="0" fontId="176" fillId="3" borderId="17" xfId="0" applyFont="1" applyFill="1" applyBorder="1"/>
    <xf numFmtId="169" fontId="176" fillId="3" borderId="17" xfId="0" applyNumberFormat="1" applyFont="1" applyFill="1" applyBorder="1" applyAlignment="1">
      <alignment horizontal="centerContinuous" vertical="center"/>
    </xf>
    <xf numFmtId="0" fontId="176" fillId="3" borderId="17" xfId="0" applyFont="1" applyFill="1" applyBorder="1" applyAlignment="1">
      <alignment horizontal="center"/>
    </xf>
    <xf numFmtId="0" fontId="176" fillId="3" borderId="17" xfId="0" applyFont="1" applyFill="1" applyBorder="1" applyAlignment="1">
      <alignment horizontal="center" wrapText="1"/>
    </xf>
    <xf numFmtId="164" fontId="176" fillId="3" borderId="17" xfId="0" applyNumberFormat="1" applyFont="1" applyFill="1" applyBorder="1"/>
    <xf numFmtId="0" fontId="176" fillId="3" borderId="17" xfId="0" applyFont="1" applyFill="1" applyBorder="1" applyAlignment="1">
      <alignment horizontal="centerContinuous"/>
    </xf>
    <xf numFmtId="4" fontId="176" fillId="3" borderId="26" xfId="0" applyNumberFormat="1" applyFont="1" applyFill="1" applyBorder="1" applyAlignment="1">
      <alignment horizontal="center"/>
    </xf>
    <xf numFmtId="4" fontId="176" fillId="3" borderId="33" xfId="0" applyNumberFormat="1" applyFont="1" applyFill="1" applyBorder="1" applyAlignment="1">
      <alignment horizontal="center"/>
    </xf>
    <xf numFmtId="168" fontId="8" fillId="0" borderId="0" xfId="0" applyNumberFormat="1" applyFont="1"/>
    <xf numFmtId="194" fontId="16" fillId="46" borderId="17" xfId="1215" applyNumberFormat="1" applyFont="1" applyFill="1" applyBorder="1" applyAlignment="1">
      <alignment horizontal="right" wrapText="1"/>
    </xf>
    <xf numFmtId="195" fontId="16" fillId="46" borderId="23" xfId="1215" applyNumberFormat="1" applyFont="1" applyFill="1" applyBorder="1" applyAlignment="1">
      <alignment horizontal="right" wrapText="1"/>
    </xf>
    <xf numFmtId="0" fontId="0" fillId="46" borderId="0" xfId="0" applyFont="1" applyFill="1"/>
    <xf numFmtId="0" fontId="12" fillId="0" borderId="66" xfId="0" applyFont="1" applyBorder="1" applyAlignment="1">
      <alignment horizontal="center" vertical="center" wrapText="1"/>
    </xf>
    <xf numFmtId="0" fontId="9" fillId="0" borderId="66" xfId="0" applyFont="1" applyBorder="1"/>
    <xf numFmtId="0" fontId="9" fillId="0" borderId="66" xfId="0" applyFont="1" applyBorder="1" applyAlignment="1">
      <alignment horizontal="center"/>
    </xf>
    <xf numFmtId="0" fontId="9" fillId="0" borderId="66" xfId="0" applyFont="1" applyBorder="1" applyAlignment="1"/>
    <xf numFmtId="195" fontId="14" fillId="51" borderId="66" xfId="1216" applyNumberFormat="1" applyFont="1" applyFill="1" applyBorder="1" applyAlignment="1">
      <alignment horizontal="center" vertical="top"/>
    </xf>
    <xf numFmtId="0" fontId="9" fillId="0" borderId="67" xfId="0" applyFont="1" applyBorder="1" applyAlignment="1">
      <alignment horizontal="center"/>
    </xf>
    <xf numFmtId="0" fontId="9" fillId="0" borderId="68" xfId="0" applyFont="1" applyBorder="1" applyAlignment="1">
      <alignment horizontal="left" vertical="center" indent="7"/>
    </xf>
    <xf numFmtId="0" fontId="12" fillId="0" borderId="66" xfId="0" applyFont="1" applyBorder="1" applyAlignment="1">
      <alignment horizontal="left" vertical="center" wrapText="1" indent="1"/>
    </xf>
    <xf numFmtId="0" fontId="9" fillId="0" borderId="66" xfId="0" applyFont="1" applyBorder="1" applyAlignment="1">
      <alignment horizontal="left" vertical="center" indent="1"/>
    </xf>
    <xf numFmtId="195" fontId="9" fillId="51" borderId="66" xfId="1216" applyNumberFormat="1" applyFont="1" applyFill="1" applyBorder="1" applyAlignment="1">
      <alignment horizontal="center" vertical="top"/>
    </xf>
    <xf numFmtId="200" fontId="9" fillId="0" borderId="66" xfId="0" applyNumberFormat="1" applyFont="1" applyBorder="1" applyAlignment="1">
      <alignment horizontal="left" vertical="center" wrapText="1" indent="1"/>
    </xf>
    <xf numFmtId="0" fontId="9" fillId="0" borderId="66" xfId="0" applyFont="1" applyBorder="1" applyAlignment="1">
      <alignment horizontal="center" wrapText="1"/>
    </xf>
    <xf numFmtId="195" fontId="9" fillId="51" borderId="66" xfId="1216" applyNumberFormat="1" applyFont="1" applyFill="1" applyBorder="1" applyAlignment="1">
      <alignment horizontal="center"/>
    </xf>
    <xf numFmtId="0" fontId="9" fillId="0" borderId="67" xfId="0" applyFont="1" applyBorder="1" applyAlignment="1">
      <alignment horizontal="left" vertical="center" indent="1"/>
    </xf>
    <xf numFmtId="0" fontId="12" fillId="0" borderId="67" xfId="0" applyFont="1" applyBorder="1" applyAlignment="1">
      <alignment horizontal="center" vertical="center" wrapText="1"/>
    </xf>
    <xf numFmtId="173" fontId="9" fillId="51" borderId="66" xfId="1216" applyNumberFormat="1" applyFont="1" applyFill="1" applyBorder="1" applyAlignment="1">
      <alignment horizontal="center" vertical="top"/>
    </xf>
    <xf numFmtId="200" fontId="9" fillId="0" borderId="0" xfId="0" applyNumberFormat="1" applyFont="1" applyAlignment="1">
      <alignment horizontal="center"/>
    </xf>
    <xf numFmtId="164" fontId="9" fillId="0" borderId="66" xfId="0" applyNumberFormat="1" applyFont="1" applyBorder="1" applyAlignment="1">
      <alignment horizontal="center" vertical="center"/>
    </xf>
    <xf numFmtId="173" fontId="9" fillId="51" borderId="66" xfId="1216" applyNumberFormat="1" applyFont="1" applyFill="1" applyBorder="1" applyAlignment="1">
      <alignment horizontal="center" vertical="center"/>
    </xf>
    <xf numFmtId="200" fontId="9" fillId="0" borderId="66" xfId="0" applyNumberFormat="1" applyFont="1" applyBorder="1" applyAlignment="1">
      <alignment horizontal="center" vertical="center"/>
    </xf>
    <xf numFmtId="173" fontId="14" fillId="51" borderId="66" xfId="1216" applyNumberFormat="1" applyFont="1" applyFill="1" applyBorder="1" applyAlignment="1">
      <alignment horizontal="center" vertical="top"/>
    </xf>
    <xf numFmtId="0" fontId="11" fillId="46" borderId="0" xfId="0" applyFont="1" applyFill="1" applyAlignment="1">
      <alignment horizontal="left"/>
    </xf>
    <xf numFmtId="0" fontId="46" fillId="0" borderId="0" xfId="0" applyFont="1" applyAlignment="1">
      <alignment horizontal="left"/>
    </xf>
    <xf numFmtId="0" fontId="21" fillId="0" borderId="0" xfId="0" applyFont="1" applyAlignment="1">
      <alignment horizontal="right"/>
    </xf>
    <xf numFmtId="0" fontId="100" fillId="46" borderId="0" xfId="0" applyFont="1" applyFill="1" applyAlignment="1">
      <alignment horizontal="centerContinuous"/>
    </xf>
    <xf numFmtId="0" fontId="103" fillId="46" borderId="0" xfId="0" quotePrefix="1" applyFont="1" applyFill="1" applyAlignment="1">
      <alignment horizontal="centerContinuous"/>
    </xf>
    <xf numFmtId="0" fontId="49" fillId="0" borderId="69" xfId="0" applyFont="1" applyBorder="1" applyAlignment="1">
      <alignment horizontal="centerContinuous"/>
    </xf>
    <xf numFmtId="0" fontId="21" fillId="0" borderId="17" xfId="0" applyFont="1" applyBorder="1" applyAlignment="1">
      <alignment horizontal="center"/>
    </xf>
    <xf numFmtId="169" fontId="16" fillId="46" borderId="0" xfId="0" applyNumberFormat="1" applyFont="1" applyFill="1"/>
    <xf numFmtId="0" fontId="14" fillId="0" borderId="17" xfId="0" applyFont="1" applyBorder="1" applyAlignment="1">
      <alignment horizontal="centerContinuous" vertical="center"/>
    </xf>
    <xf numFmtId="0" fontId="21" fillId="0" borderId="17" xfId="0" applyFont="1" applyBorder="1" applyAlignment="1">
      <alignment horizontal="centerContinuous" vertical="center"/>
    </xf>
    <xf numFmtId="169" fontId="21" fillId="0" borderId="17" xfId="0" applyNumberFormat="1" applyFont="1" applyBorder="1"/>
    <xf numFmtId="170" fontId="50" fillId="46" borderId="17" xfId="0" applyNumberFormat="1" applyFont="1" applyFill="1" applyBorder="1"/>
    <xf numFmtId="169" fontId="50" fillId="0" borderId="17" xfId="0" applyNumberFormat="1" applyFont="1" applyBorder="1"/>
    <xf numFmtId="170" fontId="50" fillId="0" borderId="17" xfId="0" applyNumberFormat="1" applyFont="1" applyBorder="1"/>
    <xf numFmtId="169" fontId="21" fillId="0" borderId="17" xfId="0" applyNumberFormat="1" applyFont="1" applyBorder="1" applyAlignment="1">
      <alignment horizontal="left"/>
    </xf>
    <xf numFmtId="169" fontId="50" fillId="46" borderId="17" xfId="0" applyNumberFormat="1" applyFont="1" applyFill="1" applyBorder="1"/>
    <xf numFmtId="0" fontId="21" fillId="46" borderId="17" xfId="0" applyFont="1" applyFill="1" applyBorder="1" applyAlignment="1">
      <alignment horizontal="centerContinuous" vertical="center"/>
    </xf>
    <xf numFmtId="0" fontId="14" fillId="46" borderId="23" xfId="0" applyFont="1" applyFill="1" applyBorder="1" applyAlignment="1">
      <alignment horizontal="centerContinuous" vertical="center"/>
    </xf>
    <xf numFmtId="0" fontId="11" fillId="46" borderId="23" xfId="0" applyFont="1" applyFill="1" applyBorder="1" applyAlignment="1">
      <alignment horizontal="centerContinuous" vertical="center"/>
    </xf>
    <xf numFmtId="170" fontId="187" fillId="46" borderId="23" xfId="0" applyNumberFormat="1" applyFont="1" applyFill="1" applyBorder="1" applyAlignment="1">
      <alignment horizontal="centerContinuous" vertical="center"/>
    </xf>
    <xf numFmtId="0" fontId="11" fillId="46" borderId="22" xfId="0" applyFont="1" applyFill="1" applyBorder="1" applyAlignment="1">
      <alignment horizontal="centerContinuous" vertical="center"/>
    </xf>
    <xf numFmtId="170" fontId="51" fillId="46" borderId="17" xfId="0" applyNumberFormat="1" applyFont="1" applyFill="1" applyBorder="1"/>
    <xf numFmtId="173" fontId="51" fillId="46" borderId="17" xfId="1215" applyNumberFormat="1" applyFont="1" applyFill="1" applyBorder="1" applyAlignment="1">
      <alignment horizontal="right" wrapText="1"/>
    </xf>
    <xf numFmtId="169" fontId="11" fillId="46" borderId="17" xfId="0" applyNumberFormat="1" applyFont="1" applyFill="1" applyBorder="1" applyAlignment="1">
      <alignment horizontal="left"/>
    </xf>
    <xf numFmtId="169" fontId="51" fillId="46" borderId="17" xfId="0" applyNumberFormat="1" applyFont="1" applyFill="1" applyBorder="1"/>
    <xf numFmtId="195" fontId="51" fillId="46" borderId="17" xfId="1215" applyNumberFormat="1" applyFont="1" applyFill="1" applyBorder="1" applyAlignment="1">
      <alignment horizontal="right" wrapText="1"/>
    </xf>
    <xf numFmtId="0" fontId="21" fillId="0" borderId="23" xfId="0" applyFont="1" applyBorder="1" applyAlignment="1">
      <alignment horizontal="centerContinuous" vertical="center"/>
    </xf>
    <xf numFmtId="0" fontId="58" fillId="0" borderId="30" xfId="0" applyFont="1" applyBorder="1" applyAlignment="1">
      <alignment horizontal="left" vertical="center"/>
    </xf>
    <xf numFmtId="0" fontId="21" fillId="0" borderId="24" xfId="0" applyFont="1" applyBorder="1" applyAlignment="1">
      <alignment horizontal="centerContinuous" vertical="center"/>
    </xf>
    <xf numFmtId="0" fontId="21" fillId="0" borderId="25" xfId="0" applyFont="1" applyBorder="1" applyAlignment="1">
      <alignment horizontal="centerContinuous" vertical="center"/>
    </xf>
    <xf numFmtId="0" fontId="14" fillId="0" borderId="23" xfId="0" applyFont="1" applyBorder="1" applyAlignment="1">
      <alignment horizontal="centerContinuous" vertical="center"/>
    </xf>
    <xf numFmtId="169" fontId="190" fillId="0" borderId="0" xfId="0" applyNumberFormat="1" applyFont="1"/>
    <xf numFmtId="0" fontId="191" fillId="46" borderId="0" xfId="0" applyFont="1" applyFill="1"/>
    <xf numFmtId="0" fontId="191" fillId="0" borderId="0" xfId="0" applyFont="1"/>
    <xf numFmtId="0" fontId="187" fillId="0" borderId="0" xfId="0" applyFont="1" applyAlignment="1">
      <alignment horizontal="right"/>
    </xf>
    <xf numFmtId="0" fontId="187" fillId="0" borderId="0" xfId="0" applyFont="1" applyAlignment="1">
      <alignment horizontal="left"/>
    </xf>
    <xf numFmtId="0" fontId="187" fillId="46" borderId="0" xfId="0" applyFont="1" applyFill="1"/>
    <xf numFmtId="0" fontId="9" fillId="46" borderId="0" xfId="0" applyFont="1" applyFill="1" applyAlignment="1">
      <alignment horizontal="left"/>
    </xf>
    <xf numFmtId="0" fontId="11" fillId="46" borderId="0" xfId="0" quotePrefix="1" applyFont="1" applyFill="1" applyAlignment="1">
      <alignment horizontal="centerContinuous"/>
    </xf>
    <xf numFmtId="10" fontId="175" fillId="46" borderId="0" xfId="0" applyNumberFormat="1" applyFont="1" applyFill="1"/>
    <xf numFmtId="0" fontId="16" fillId="46" borderId="0" xfId="0" applyFont="1" applyFill="1" applyAlignment="1">
      <alignment horizontal="right"/>
    </xf>
    <xf numFmtId="168" fontId="191" fillId="46" borderId="0" xfId="0" applyNumberFormat="1" applyFont="1" applyFill="1"/>
    <xf numFmtId="169" fontId="16" fillId="46" borderId="0" xfId="0" applyNumberFormat="1" applyFont="1" applyFill="1" applyAlignment="1">
      <alignment horizontal="right"/>
    </xf>
    <xf numFmtId="169" fontId="16" fillId="0" borderId="0" xfId="0" applyNumberFormat="1" applyFont="1"/>
    <xf numFmtId="0" fontId="67" fillId="0" borderId="0" xfId="1217" applyFont="1" applyBorder="1" applyAlignment="1">
      <alignment horizontal="centerContinuous" wrapText="1"/>
    </xf>
    <xf numFmtId="0" fontId="105" fillId="0" borderId="0" xfId="1176" applyFont="1" applyAlignment="1">
      <alignment horizontal="right"/>
    </xf>
    <xf numFmtId="0" fontId="192" fillId="48" borderId="0" xfId="1176" applyFont="1" applyFill="1"/>
    <xf numFmtId="0" fontId="193" fillId="46" borderId="0" xfId="1176" applyFont="1" applyFill="1"/>
    <xf numFmtId="0" fontId="194" fillId="0" borderId="0" xfId="1176" applyFont="1"/>
    <xf numFmtId="0" fontId="195" fillId="0" borderId="0" xfId="1176" applyFont="1"/>
    <xf numFmtId="164" fontId="192" fillId="48" borderId="0" xfId="1176" applyNumberFormat="1" applyFont="1" applyFill="1"/>
    <xf numFmtId="164" fontId="193" fillId="46" borderId="0" xfId="1176" applyNumberFormat="1" applyFont="1" applyFill="1"/>
    <xf numFmtId="164" fontId="195" fillId="0" borderId="0" xfId="1176" applyNumberFormat="1" applyFont="1"/>
    <xf numFmtId="0" fontId="0" fillId="0" borderId="22" xfId="0" applyBorder="1" applyAlignment="1">
      <alignment horizontal="center" vertical="center" wrapText="1"/>
    </xf>
    <xf numFmtId="44" fontId="196" fillId="48" borderId="0" xfId="931" applyFont="1" applyFill="1"/>
    <xf numFmtId="44" fontId="106" fillId="48" borderId="0" xfId="931" applyFont="1" applyFill="1" applyAlignment="1">
      <alignment horizontal="center" vertical="center" wrapText="1"/>
    </xf>
    <xf numFmtId="1" fontId="9" fillId="0" borderId="26" xfId="0" applyNumberFormat="1" applyFont="1" applyBorder="1" applyAlignment="1">
      <alignment vertical="top" wrapText="1"/>
    </xf>
    <xf numFmtId="0" fontId="67" fillId="0" borderId="0" xfId="1214" applyFont="1" applyFill="1" applyAlignment="1">
      <alignment horizontal="centerContinuous" wrapText="1"/>
    </xf>
    <xf numFmtId="168" fontId="175" fillId="46" borderId="0" xfId="1208" applyNumberFormat="1" applyFont="1" applyFill="1" applyBorder="1" applyAlignment="1">
      <alignment vertical="top" wrapText="1"/>
    </xf>
    <xf numFmtId="0" fontId="60" fillId="0" borderId="0" xfId="0" applyFont="1" applyAlignment="1">
      <alignment horizontal="center"/>
    </xf>
    <xf numFmtId="0" fontId="197" fillId="0" borderId="0" xfId="0" applyFont="1" applyAlignment="1">
      <alignment horizontal="center"/>
    </xf>
    <xf numFmtId="0" fontId="11" fillId="46" borderId="17" xfId="0" applyFont="1" applyFill="1" applyBorder="1" applyAlignment="1">
      <alignment horizontal="center" vertical="top" wrapText="1"/>
    </xf>
    <xf numFmtId="0" fontId="11" fillId="46" borderId="17" xfId="0" applyFont="1" applyFill="1" applyBorder="1" applyAlignment="1">
      <alignment horizontal="centerContinuous" vertical="top" wrapText="1"/>
    </xf>
    <xf numFmtId="0" fontId="175" fillId="0" borderId="0" xfId="0" applyFont="1" applyBorder="1" applyAlignment="1">
      <alignment horizontal="center" vertical="top" wrapText="1"/>
    </xf>
    <xf numFmtId="0" fontId="51" fillId="46" borderId="17" xfId="1208" applyFont="1" applyFill="1" applyBorder="1" applyAlignment="1">
      <alignment wrapText="1"/>
    </xf>
    <xf numFmtId="201" fontId="9" fillId="46" borderId="17" xfId="1208" applyNumberFormat="1" applyFont="1" applyFill="1" applyBorder="1" applyAlignment="1">
      <alignment horizontal="center" wrapText="1"/>
    </xf>
    <xf numFmtId="0" fontId="9" fillId="46" borderId="17" xfId="1208" applyFont="1" applyFill="1" applyBorder="1" applyAlignment="1">
      <alignment horizontal="center" wrapText="1"/>
    </xf>
    <xf numFmtId="168" fontId="175" fillId="0" borderId="0" xfId="1208" applyNumberFormat="1" applyFont="1" applyBorder="1" applyAlignment="1">
      <alignment vertical="top" wrapText="1"/>
    </xf>
    <xf numFmtId="168" fontId="24" fillId="0" borderId="0" xfId="1208" applyNumberFormat="1" applyFont="1" applyBorder="1" applyAlignment="1">
      <alignment horizontal="right" vertical="top" wrapText="1"/>
    </xf>
    <xf numFmtId="0" fontId="11" fillId="0" borderId="0" xfId="0" applyFont="1" applyAlignment="1"/>
    <xf numFmtId="0" fontId="14" fillId="46" borderId="17" xfId="1208" applyFont="1" applyFill="1" applyBorder="1" applyAlignment="1">
      <alignment horizontal="center" wrapText="1"/>
    </xf>
    <xf numFmtId="0" fontId="13" fillId="46" borderId="17" xfId="1208" applyFont="1" applyFill="1" applyBorder="1" applyAlignment="1">
      <alignment horizontal="centerContinuous" wrapText="1"/>
    </xf>
    <xf numFmtId="0" fontId="51" fillId="46" borderId="23" xfId="1208" applyFont="1" applyFill="1" applyBorder="1" applyAlignment="1">
      <alignment wrapText="1"/>
    </xf>
    <xf numFmtId="0" fontId="66" fillId="0" borderId="17" xfId="0" applyFont="1" applyBorder="1" applyAlignment="1">
      <alignment horizontal="centerContinuous" vertical="center" wrapText="1"/>
    </xf>
    <xf numFmtId="4" fontId="51" fillId="46" borderId="17" xfId="1208" applyNumberFormat="1" applyFont="1" applyFill="1" applyBorder="1" applyAlignment="1">
      <alignment wrapText="1"/>
    </xf>
    <xf numFmtId="4" fontId="51" fillId="46" borderId="23" xfId="1208" applyNumberFormat="1" applyFont="1" applyFill="1" applyBorder="1" applyAlignment="1">
      <alignment wrapText="1"/>
    </xf>
    <xf numFmtId="4" fontId="13" fillId="46" borderId="17" xfId="1208" applyNumberFormat="1" applyFont="1" applyFill="1" applyBorder="1" applyAlignment="1">
      <alignment wrapText="1"/>
    </xf>
    <xf numFmtId="4" fontId="183" fillId="0" borderId="0" xfId="1208" applyNumberFormat="1" applyFont="1" applyBorder="1" applyAlignment="1">
      <alignment wrapText="1"/>
    </xf>
    <xf numFmtId="0" fontId="11" fillId="0" borderId="6" xfId="0" applyFont="1" applyBorder="1"/>
    <xf numFmtId="0" fontId="66" fillId="0" borderId="0" xfId="0" applyFont="1" applyBorder="1" applyAlignment="1">
      <alignment horizontal="centerContinuous" vertical="center" wrapText="1"/>
    </xf>
    <xf numFmtId="201" fontId="9" fillId="46" borderId="0" xfId="1208" applyNumberFormat="1" applyFont="1" applyFill="1" applyBorder="1" applyAlignment="1">
      <alignment horizontal="center" wrapText="1"/>
    </xf>
    <xf numFmtId="0" fontId="14" fillId="46" borderId="0" xfId="1208" applyFont="1" applyFill="1" applyBorder="1" applyAlignment="1">
      <alignment horizontal="center" wrapText="1"/>
    </xf>
    <xf numFmtId="4" fontId="13" fillId="46" borderId="0" xfId="1208" applyNumberFormat="1" applyFont="1" applyFill="1" applyBorder="1" applyAlignment="1">
      <alignment wrapText="1"/>
    </xf>
    <xf numFmtId="164" fontId="175" fillId="0" borderId="0" xfId="0" applyNumberFormat="1" applyFont="1"/>
    <xf numFmtId="0" fontId="198" fillId="0" borderId="0" xfId="0" applyFont="1"/>
    <xf numFmtId="0" fontId="11" fillId="0" borderId="0" xfId="0" applyFont="1" applyFill="1" applyAlignment="1">
      <alignment vertical="center"/>
    </xf>
    <xf numFmtId="0" fontId="49" fillId="46" borderId="17" xfId="1208" applyFont="1" applyFill="1" applyBorder="1" applyAlignment="1">
      <alignment vertical="center" wrapText="1"/>
    </xf>
    <xf numFmtId="0" fontId="51" fillId="46" borderId="17" xfId="1208" applyFont="1" applyFill="1" applyBorder="1" applyAlignment="1">
      <alignment vertical="center" wrapText="1"/>
    </xf>
    <xf numFmtId="173" fontId="49" fillId="46" borderId="17" xfId="1215" applyNumberFormat="1" applyFont="1" applyFill="1" applyBorder="1" applyAlignment="1">
      <alignment horizontal="right" vertical="center" wrapText="1"/>
    </xf>
    <xf numFmtId="0" fontId="199" fillId="46" borderId="23" xfId="1208" applyFont="1" applyFill="1" applyBorder="1" applyAlignment="1">
      <alignment vertical="center" wrapText="1"/>
    </xf>
    <xf numFmtId="173" fontId="11" fillId="0" borderId="0" xfId="0" applyNumberFormat="1" applyFont="1" applyFill="1"/>
    <xf numFmtId="0" fontId="186" fillId="46" borderId="23" xfId="1208" applyFont="1" applyFill="1" applyBorder="1" applyAlignment="1">
      <alignment vertical="center" wrapText="1"/>
    </xf>
    <xf numFmtId="0" fontId="200" fillId="46" borderId="23" xfId="1208" applyFont="1" applyFill="1" applyBorder="1" applyAlignment="1">
      <alignment vertical="center" wrapText="1"/>
    </xf>
    <xf numFmtId="0" fontId="200" fillId="44" borderId="23" xfId="1208" applyFont="1" applyFill="1" applyBorder="1" applyAlignment="1">
      <alignment vertical="center" wrapText="1"/>
    </xf>
    <xf numFmtId="0" fontId="49" fillId="44" borderId="17" xfId="1208" applyFont="1" applyFill="1" applyBorder="1" applyAlignment="1">
      <alignment vertical="center" wrapText="1"/>
    </xf>
    <xf numFmtId="0" fontId="186" fillId="44" borderId="23" xfId="1208" applyFont="1" applyFill="1" applyBorder="1" applyAlignment="1">
      <alignment vertical="center" wrapText="1"/>
    </xf>
    <xf numFmtId="0" fontId="51" fillId="44" borderId="17" xfId="1208" applyFont="1" applyFill="1" applyBorder="1" applyAlignment="1">
      <alignment vertical="center" wrapText="1"/>
    </xf>
    <xf numFmtId="0" fontId="11" fillId="44" borderId="17" xfId="1208" applyFont="1" applyFill="1" applyBorder="1" applyAlignment="1">
      <alignment vertical="center" wrapText="1"/>
    </xf>
    <xf numFmtId="173" fontId="49" fillId="44" borderId="17" xfId="1215" applyNumberFormat="1" applyFont="1" applyFill="1" applyBorder="1" applyAlignment="1">
      <alignment horizontal="right" vertical="center" wrapText="1"/>
    </xf>
    <xf numFmtId="173" fontId="11" fillId="44" borderId="17" xfId="1215" applyNumberFormat="1" applyFont="1" applyFill="1" applyBorder="1" applyAlignment="1">
      <alignment horizontal="right" vertical="center" wrapText="1"/>
    </xf>
    <xf numFmtId="0" fontId="79" fillId="28" borderId="17" xfId="0" applyFont="1" applyFill="1" applyBorder="1" applyAlignment="1">
      <alignment vertical="center"/>
    </xf>
    <xf numFmtId="0" fontId="187" fillId="46" borderId="17" xfId="1208" applyFont="1" applyFill="1" applyBorder="1" applyAlignment="1">
      <alignment vertical="center" wrapText="1"/>
    </xf>
    <xf numFmtId="173" fontId="11" fillId="46" borderId="0" xfId="0" applyNumberFormat="1" applyFont="1" applyFill="1"/>
    <xf numFmtId="170" fontId="79" fillId="28" borderId="17" xfId="0" applyNumberFormat="1" applyFont="1" applyFill="1" applyBorder="1" applyAlignment="1">
      <alignment vertical="center"/>
    </xf>
    <xf numFmtId="0" fontId="51" fillId="0" borderId="0" xfId="0" applyFont="1" applyAlignment="1">
      <alignment horizontal="right"/>
    </xf>
    <xf numFmtId="164" fontId="49" fillId="28" borderId="0" xfId="0" applyNumberFormat="1" applyFont="1" applyFill="1" applyAlignment="1">
      <alignment horizontal="left"/>
    </xf>
    <xf numFmtId="0" fontId="199" fillId="48" borderId="23" xfId="1208" applyFont="1" applyFill="1" applyBorder="1" applyAlignment="1">
      <alignment vertical="center" wrapText="1"/>
    </xf>
    <xf numFmtId="0" fontId="187" fillId="48" borderId="17" xfId="1208" applyFont="1" applyFill="1" applyBorder="1" applyAlignment="1">
      <alignment vertical="center" wrapText="1"/>
    </xf>
    <xf numFmtId="0" fontId="9" fillId="48" borderId="17" xfId="1208" applyFont="1" applyFill="1" applyBorder="1" applyAlignment="1">
      <alignment horizontal="center" vertical="center" wrapText="1"/>
    </xf>
    <xf numFmtId="173" fontId="187" fillId="48" borderId="17" xfId="1215" applyNumberFormat="1" applyFont="1" applyFill="1" applyBorder="1" applyAlignment="1">
      <alignment horizontal="right" vertical="center" wrapText="1"/>
    </xf>
    <xf numFmtId="0" fontId="11" fillId="48" borderId="0" xfId="0" applyFont="1" applyFill="1" applyAlignment="1">
      <alignment vertical="center"/>
    </xf>
    <xf numFmtId="173" fontId="49" fillId="46" borderId="0" xfId="0" applyNumberFormat="1" applyFont="1" applyFill="1"/>
    <xf numFmtId="2" fontId="11" fillId="0" borderId="0" xfId="0" applyNumberFormat="1" applyFont="1"/>
    <xf numFmtId="173" fontId="11" fillId="46" borderId="17" xfId="1215" applyNumberFormat="1" applyFont="1" applyFill="1" applyBorder="1" applyAlignment="1">
      <alignment horizontal="right" wrapText="1"/>
    </xf>
    <xf numFmtId="173" fontId="11" fillId="46" borderId="34" xfId="1215" applyNumberFormat="1" applyFont="1" applyFill="1" applyBorder="1" applyAlignment="1">
      <alignment horizontal="right" wrapText="1"/>
    </xf>
    <xf numFmtId="0" fontId="9" fillId="46" borderId="0" xfId="0" applyFont="1" applyFill="1" applyAlignment="1">
      <alignment horizontal="center"/>
    </xf>
    <xf numFmtId="0" fontId="9" fillId="46" borderId="22" xfId="0" applyFont="1" applyFill="1" applyBorder="1" applyAlignment="1">
      <alignment horizontal="center" vertical="top" wrapText="1"/>
    </xf>
    <xf numFmtId="0" fontId="9" fillId="46" borderId="25" xfId="0" applyFont="1" applyFill="1" applyBorder="1" applyAlignment="1">
      <alignment wrapText="1"/>
    </xf>
    <xf numFmtId="0" fontId="9" fillId="46" borderId="25" xfId="0" applyFont="1" applyFill="1" applyBorder="1" applyAlignment="1">
      <alignment horizontal="left" vertical="top" wrapText="1"/>
    </xf>
    <xf numFmtId="0" fontId="9" fillId="46" borderId="0" xfId="0" applyFont="1" applyFill="1" applyAlignment="1">
      <alignment horizontal="justify"/>
    </xf>
    <xf numFmtId="0" fontId="95" fillId="0" borderId="0" xfId="0" applyFont="1" applyAlignment="1">
      <alignment horizontal="centerContinuous"/>
    </xf>
    <xf numFmtId="0" fontId="51" fillId="46" borderId="17" xfId="0" applyFont="1" applyFill="1" applyBorder="1" applyAlignment="1">
      <alignment horizontal="center" wrapText="1"/>
    </xf>
    <xf numFmtId="0" fontId="51" fillId="46" borderId="17" xfId="0" applyFont="1" applyFill="1" applyBorder="1" applyAlignment="1">
      <alignment horizontal="center"/>
    </xf>
    <xf numFmtId="164" fontId="14" fillId="46" borderId="0" xfId="0" applyNumberFormat="1" applyFont="1" applyFill="1" applyAlignment="1">
      <alignment horizontal="left"/>
    </xf>
    <xf numFmtId="2" fontId="14" fillId="46" borderId="0" xfId="0" applyNumberFormat="1" applyFont="1" applyFill="1"/>
    <xf numFmtId="164" fontId="9" fillId="46" borderId="0" xfId="0" applyNumberFormat="1" applyFont="1" applyFill="1"/>
    <xf numFmtId="170" fontId="14" fillId="46" borderId="0" xfId="0" applyNumberFormat="1" applyFont="1" applyFill="1" applyAlignment="1">
      <alignment horizontal="left"/>
    </xf>
    <xf numFmtId="170" fontId="9" fillId="46" borderId="0" xfId="0" applyNumberFormat="1" applyFont="1" applyFill="1"/>
    <xf numFmtId="10" fontId="14" fillId="46" borderId="0" xfId="0" applyNumberFormat="1" applyFont="1" applyFill="1" applyAlignment="1">
      <alignment horizontal="left"/>
    </xf>
    <xf numFmtId="0" fontId="11" fillId="0" borderId="23" xfId="0" applyFont="1" applyBorder="1" applyAlignment="1">
      <alignment horizontal="center" vertical="top" wrapText="1"/>
    </xf>
    <xf numFmtId="0" fontId="11" fillId="0" borderId="20" xfId="0" applyFont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172" fontId="9" fillId="46" borderId="0" xfId="0" applyNumberFormat="1" applyFont="1" applyFill="1"/>
    <xf numFmtId="10" fontId="9" fillId="46" borderId="0" xfId="0" applyNumberFormat="1" applyFont="1" applyFill="1"/>
    <xf numFmtId="169" fontId="9" fillId="46" borderId="0" xfId="0" applyNumberFormat="1" applyFont="1" applyFill="1"/>
    <xf numFmtId="3" fontId="9" fillId="46" borderId="0" xfId="0" applyNumberFormat="1" applyFont="1" applyFill="1"/>
    <xf numFmtId="194" fontId="9" fillId="46" borderId="0" xfId="0" applyNumberFormat="1" applyFont="1" applyFill="1"/>
    <xf numFmtId="0" fontId="68" fillId="0" borderId="0" xfId="0" applyFont="1" applyAlignment="1">
      <alignment horizontal="left"/>
    </xf>
    <xf numFmtId="0" fontId="9" fillId="0" borderId="0" xfId="0" applyFont="1" applyBorder="1" applyAlignment="1">
      <alignment horizontal="center" vertical="top" wrapText="1"/>
    </xf>
    <xf numFmtId="4" fontId="175" fillId="33" borderId="0" xfId="0" applyNumberFormat="1" applyFont="1" applyFill="1" applyBorder="1" applyAlignment="1">
      <alignment horizontal="center" wrapText="1"/>
    </xf>
    <xf numFmtId="3" fontId="175" fillId="33" borderId="0" xfId="0" applyNumberFormat="1" applyFont="1" applyFill="1"/>
    <xf numFmtId="4" fontId="14" fillId="46" borderId="0" xfId="0" applyNumberFormat="1" applyFont="1" applyFill="1" applyAlignment="1">
      <alignment horizontal="right"/>
    </xf>
    <xf numFmtId="170" fontId="14" fillId="46" borderId="0" xfId="0" applyNumberFormat="1" applyFont="1" applyFill="1" applyAlignment="1">
      <alignment horizontal="right"/>
    </xf>
    <xf numFmtId="10" fontId="9" fillId="33" borderId="0" xfId="0" applyNumberFormat="1" applyFont="1" applyFill="1"/>
    <xf numFmtId="0" fontId="9" fillId="33" borderId="0" xfId="0" applyFont="1" applyFill="1" applyAlignment="1">
      <alignment horizontal="center"/>
    </xf>
    <xf numFmtId="169" fontId="9" fillId="33" borderId="0" xfId="0" applyNumberFormat="1" applyFont="1" applyFill="1"/>
    <xf numFmtId="194" fontId="9" fillId="46" borderId="26" xfId="1215" applyNumberFormat="1" applyFont="1" applyFill="1" applyBorder="1" applyAlignment="1">
      <alignment horizontal="right"/>
    </xf>
    <xf numFmtId="194" fontId="9" fillId="46" borderId="23" xfId="1215" applyNumberFormat="1" applyFont="1" applyFill="1" applyBorder="1" applyAlignment="1">
      <alignment horizontal="right" vertical="center"/>
    </xf>
    <xf numFmtId="194" fontId="9" fillId="46" borderId="26" xfId="1215" applyNumberFormat="1" applyFont="1" applyFill="1" applyBorder="1" applyAlignment="1">
      <alignment horizontal="right" vertical="top"/>
    </xf>
    <xf numFmtId="194" fontId="9" fillId="48" borderId="26" xfId="1215" applyNumberFormat="1" applyFont="1" applyFill="1" applyBorder="1" applyAlignment="1">
      <alignment horizontal="right"/>
    </xf>
    <xf numFmtId="4" fontId="9" fillId="44" borderId="33" xfId="0" applyNumberFormat="1" applyFont="1" applyFill="1" applyBorder="1" applyAlignment="1">
      <alignment horizontal="centerContinuous"/>
    </xf>
    <xf numFmtId="0" fontId="9" fillId="43" borderId="71" xfId="0" applyFont="1" applyFill="1" applyBorder="1" applyAlignment="1">
      <alignment wrapText="1"/>
    </xf>
    <xf numFmtId="4" fontId="175" fillId="43" borderId="72" xfId="0" applyNumberFormat="1" applyFont="1" applyFill="1" applyBorder="1"/>
    <xf numFmtId="4" fontId="9" fillId="43" borderId="72" xfId="0" applyNumberFormat="1" applyFont="1" applyFill="1" applyBorder="1"/>
    <xf numFmtId="4" fontId="182" fillId="48" borderId="0" xfId="0" applyNumberFormat="1" applyFont="1" applyFill="1"/>
    <xf numFmtId="195" fontId="9" fillId="46" borderId="26" xfId="1215" applyNumberFormat="1" applyFont="1" applyFill="1" applyBorder="1" applyAlignment="1">
      <alignment horizontal="right" vertical="top"/>
    </xf>
    <xf numFmtId="195" fontId="9" fillId="46" borderId="26" xfId="1215" applyNumberFormat="1" applyFont="1" applyFill="1" applyBorder="1" applyAlignment="1">
      <alignment horizontal="right"/>
    </xf>
    <xf numFmtId="196" fontId="9" fillId="46" borderId="26" xfId="1215" applyNumberFormat="1" applyFont="1" applyFill="1" applyBorder="1" applyAlignment="1">
      <alignment horizontal="right"/>
    </xf>
    <xf numFmtId="173" fontId="51" fillId="46" borderId="34" xfId="1215" applyNumberFormat="1" applyFont="1" applyFill="1" applyBorder="1" applyAlignment="1">
      <alignment horizontal="right" wrapText="1"/>
    </xf>
    <xf numFmtId="0" fontId="11" fillId="0" borderId="48" xfId="0" applyFont="1" applyBorder="1" applyAlignment="1">
      <alignment horizontal="center" vertical="center"/>
    </xf>
    <xf numFmtId="0" fontId="14" fillId="46" borderId="17" xfId="0" applyFont="1" applyFill="1" applyBorder="1" applyAlignment="1">
      <alignment horizontal="center" wrapText="1"/>
    </xf>
    <xf numFmtId="170" fontId="11" fillId="46" borderId="33" xfId="0" applyNumberFormat="1" applyFont="1" applyFill="1" applyBorder="1" applyAlignment="1">
      <alignment horizontal="center"/>
    </xf>
    <xf numFmtId="170" fontId="11" fillId="46" borderId="36" xfId="0" applyNumberFormat="1" applyFont="1" applyFill="1" applyBorder="1" applyAlignment="1">
      <alignment horizontal="center"/>
    </xf>
    <xf numFmtId="169" fontId="11" fillId="0" borderId="0" xfId="0" applyNumberFormat="1" applyFont="1"/>
    <xf numFmtId="170" fontId="14" fillId="0" borderId="0" xfId="0" applyNumberFormat="1" applyFont="1" applyBorder="1"/>
    <xf numFmtId="4" fontId="9" fillId="43" borderId="73" xfId="0" applyNumberFormat="1" applyFont="1" applyFill="1" applyBorder="1"/>
    <xf numFmtId="173" fontId="11" fillId="46" borderId="74" xfId="1215" applyNumberFormat="1" applyFont="1" applyFill="1" applyBorder="1" applyAlignment="1">
      <alignment horizontal="right" vertical="top"/>
    </xf>
    <xf numFmtId="173" fontId="11" fillId="46" borderId="35" xfId="1215" applyNumberFormat="1" applyFont="1" applyFill="1" applyBorder="1" applyAlignment="1">
      <alignment horizontal="right" vertical="top"/>
    </xf>
    <xf numFmtId="4" fontId="201" fillId="49" borderId="32" xfId="0" applyNumberFormat="1" applyFont="1" applyFill="1" applyBorder="1" applyAlignment="1">
      <alignment horizontal="center"/>
    </xf>
    <xf numFmtId="4" fontId="201" fillId="49" borderId="17" xfId="0" applyNumberFormat="1" applyFont="1" applyFill="1" applyBorder="1" applyAlignment="1">
      <alignment horizontal="center"/>
    </xf>
    <xf numFmtId="173" fontId="51" fillId="46" borderId="32" xfId="1215" applyNumberFormat="1" applyFont="1" applyFill="1" applyBorder="1" applyAlignment="1">
      <alignment horizontal="right" wrapText="1"/>
    </xf>
    <xf numFmtId="4" fontId="201" fillId="49" borderId="32" xfId="0" applyNumberFormat="1" applyFont="1" applyFill="1" applyBorder="1" applyAlignment="1">
      <alignment horizontal="center" wrapText="1"/>
    </xf>
    <xf numFmtId="4" fontId="201" fillId="49" borderId="17" xfId="0" applyNumberFormat="1" applyFont="1" applyFill="1" applyBorder="1" applyAlignment="1">
      <alignment horizontal="center" wrapText="1"/>
    </xf>
    <xf numFmtId="4" fontId="201" fillId="49" borderId="34" xfId="0" applyNumberFormat="1" applyFont="1" applyFill="1" applyBorder="1" applyAlignment="1">
      <alignment horizontal="center"/>
    </xf>
    <xf numFmtId="4" fontId="201" fillId="49" borderId="35" xfId="0" applyNumberFormat="1" applyFont="1" applyFill="1" applyBorder="1" applyAlignment="1">
      <alignment horizontal="center" wrapText="1"/>
    </xf>
    <xf numFmtId="4" fontId="201" fillId="49" borderId="37" xfId="0" applyNumberFormat="1" applyFont="1" applyFill="1" applyBorder="1" applyAlignment="1">
      <alignment horizontal="center" wrapText="1"/>
    </xf>
    <xf numFmtId="4" fontId="201" fillId="49" borderId="38" xfId="0" applyNumberFormat="1" applyFont="1" applyFill="1" applyBorder="1" applyAlignment="1">
      <alignment horizontal="center"/>
    </xf>
    <xf numFmtId="170" fontId="201" fillId="49" borderId="32" xfId="0" applyNumberFormat="1" applyFont="1" applyFill="1" applyBorder="1"/>
    <xf numFmtId="170" fontId="14" fillId="0" borderId="0" xfId="0" applyNumberFormat="1" applyFont="1"/>
    <xf numFmtId="170" fontId="11" fillId="46" borderId="35" xfId="0" applyNumberFormat="1" applyFont="1" applyFill="1" applyBorder="1" applyAlignment="1">
      <alignment horizontal="right" wrapText="1"/>
    </xf>
    <xf numFmtId="170" fontId="11" fillId="46" borderId="37" xfId="0" applyNumberFormat="1" applyFont="1" applyFill="1" applyBorder="1" applyAlignment="1">
      <alignment horizontal="right" wrapText="1"/>
    </xf>
    <xf numFmtId="3" fontId="14" fillId="46" borderId="17" xfId="0" applyNumberFormat="1" applyFont="1" applyFill="1" applyBorder="1" applyAlignment="1">
      <alignment horizontal="center" wrapText="1"/>
    </xf>
    <xf numFmtId="3" fontId="14" fillId="46" borderId="37" xfId="0" applyNumberFormat="1" applyFont="1" applyFill="1" applyBorder="1" applyAlignment="1">
      <alignment horizontal="center" wrapText="1"/>
    </xf>
    <xf numFmtId="173" fontId="13" fillId="46" borderId="34" xfId="1215" applyNumberFormat="1" applyFont="1" applyFill="1" applyBorder="1" applyAlignment="1">
      <alignment horizontal="right" wrapText="1"/>
    </xf>
    <xf numFmtId="0" fontId="11" fillId="0" borderId="53" xfId="0" applyFont="1" applyBorder="1" applyAlignment="1">
      <alignment horizontal="center"/>
    </xf>
    <xf numFmtId="3" fontId="14" fillId="46" borderId="22" xfId="0" applyNumberFormat="1" applyFont="1" applyFill="1" applyBorder="1" applyAlignment="1">
      <alignment horizontal="center" wrapText="1"/>
    </xf>
    <xf numFmtId="4" fontId="201" fillId="49" borderId="31" xfId="0" applyNumberFormat="1" applyFont="1" applyFill="1" applyBorder="1" applyAlignment="1">
      <alignment horizontal="center" wrapText="1"/>
    </xf>
    <xf numFmtId="4" fontId="201" fillId="49" borderId="22" xfId="0" applyNumberFormat="1" applyFont="1" applyFill="1" applyBorder="1" applyAlignment="1">
      <alignment horizontal="center" wrapText="1"/>
    </xf>
    <xf numFmtId="170" fontId="11" fillId="46" borderId="31" xfId="0" applyNumberFormat="1" applyFont="1" applyFill="1" applyBorder="1"/>
    <xf numFmtId="170" fontId="11" fillId="46" borderId="22" xfId="0" applyNumberFormat="1" applyFont="1" applyFill="1" applyBorder="1"/>
    <xf numFmtId="170" fontId="11" fillId="46" borderId="61" xfId="0" applyNumberFormat="1" applyFont="1" applyFill="1" applyBorder="1"/>
    <xf numFmtId="170" fontId="11" fillId="46" borderId="25" xfId="0" applyNumberFormat="1" applyFont="1" applyFill="1" applyBorder="1"/>
    <xf numFmtId="0" fontId="49" fillId="0" borderId="49" xfId="0" applyFont="1" applyBorder="1" applyAlignment="1">
      <alignment horizontal="center"/>
    </xf>
    <xf numFmtId="0" fontId="49" fillId="46" borderId="50" xfId="0" applyFont="1" applyFill="1" applyBorder="1" applyAlignment="1">
      <alignment wrapText="1"/>
    </xf>
    <xf numFmtId="0" fontId="11" fillId="46" borderId="50" xfId="0" applyFont="1" applyFill="1" applyBorder="1"/>
    <xf numFmtId="0" fontId="11" fillId="46" borderId="75" xfId="0" applyFont="1" applyFill="1" applyBorder="1"/>
    <xf numFmtId="0" fontId="9" fillId="46" borderId="49" xfId="0" applyFont="1" applyFill="1" applyBorder="1" applyAlignment="1">
      <alignment horizontal="center"/>
    </xf>
    <xf numFmtId="0" fontId="9" fillId="46" borderId="50" xfId="0" applyFont="1" applyFill="1" applyBorder="1" applyAlignment="1">
      <alignment horizontal="center"/>
    </xf>
    <xf numFmtId="0" fontId="9" fillId="46" borderId="51" xfId="0" applyFont="1" applyFill="1" applyBorder="1" applyAlignment="1">
      <alignment horizontal="center"/>
    </xf>
    <xf numFmtId="170" fontId="49" fillId="46" borderId="49" xfId="0" applyNumberFormat="1" applyFont="1" applyFill="1" applyBorder="1"/>
    <xf numFmtId="170" fontId="49" fillId="46" borderId="50" xfId="0" applyNumberFormat="1" applyFont="1" applyFill="1" applyBorder="1"/>
    <xf numFmtId="170" fontId="49" fillId="46" borderId="51" xfId="0" applyNumberFormat="1" applyFont="1" applyFill="1" applyBorder="1"/>
    <xf numFmtId="173" fontId="51" fillId="46" borderId="49" xfId="1215" applyNumberFormat="1" applyFont="1" applyFill="1" applyBorder="1" applyAlignment="1">
      <alignment horizontal="right" wrapText="1"/>
    </xf>
    <xf numFmtId="173" fontId="51" fillId="46" borderId="50" xfId="1215" applyNumberFormat="1" applyFont="1" applyFill="1" applyBorder="1" applyAlignment="1">
      <alignment horizontal="right" wrapText="1"/>
    </xf>
    <xf numFmtId="0" fontId="49" fillId="46" borderId="76" xfId="0" applyFont="1" applyFill="1" applyBorder="1" applyAlignment="1">
      <alignment horizontal="centerContinuous" vertical="center"/>
    </xf>
    <xf numFmtId="173" fontId="11" fillId="46" borderId="38" xfId="1215" applyNumberFormat="1" applyFont="1" applyFill="1" applyBorder="1" applyAlignment="1">
      <alignment horizontal="right" vertical="top"/>
    </xf>
    <xf numFmtId="0" fontId="9" fillId="48" borderId="0" xfId="0" applyFont="1" applyFill="1" applyBorder="1"/>
    <xf numFmtId="0" fontId="9" fillId="48" borderId="17" xfId="0" applyFont="1" applyFill="1" applyBorder="1" applyAlignment="1">
      <alignment horizontal="center" vertical="top" wrapText="1"/>
    </xf>
    <xf numFmtId="173" fontId="9" fillId="48" borderId="17" xfId="1215" applyNumberFormat="1" applyFont="1" applyFill="1" applyBorder="1" applyAlignment="1">
      <alignment horizontal="right" wrapText="1"/>
    </xf>
    <xf numFmtId="0" fontId="17" fillId="48" borderId="0" xfId="0" applyFont="1" applyFill="1"/>
    <xf numFmtId="0" fontId="95" fillId="48" borderId="0" xfId="0" applyFont="1" applyFill="1" applyAlignment="1">
      <alignment horizontal="centerContinuous" wrapText="1"/>
    </xf>
    <xf numFmtId="0" fontId="9" fillId="48" borderId="0" xfId="0" applyFont="1" applyFill="1" applyAlignment="1">
      <alignment horizontal="centerContinuous" wrapText="1"/>
    </xf>
    <xf numFmtId="0" fontId="0" fillId="48" borderId="0" xfId="0" applyFont="1" applyFill="1" applyAlignment="1">
      <alignment horizontal="centerContinuous" wrapText="1"/>
    </xf>
    <xf numFmtId="0" fontId="95" fillId="48" borderId="0" xfId="0" applyFont="1" applyFill="1" applyAlignment="1">
      <alignment horizontal="centerContinuous"/>
    </xf>
    <xf numFmtId="170" fontId="16" fillId="46" borderId="0" xfId="0" applyNumberFormat="1" applyFont="1" applyFill="1"/>
    <xf numFmtId="0" fontId="9" fillId="0" borderId="0" xfId="1181" applyFont="1" applyAlignment="1"/>
    <xf numFmtId="0" fontId="182" fillId="0" borderId="0" xfId="1181" applyFont="1" applyAlignment="1"/>
    <xf numFmtId="168" fontId="9" fillId="0" borderId="0" xfId="1181" applyNumberFormat="1" applyFont="1"/>
    <xf numFmtId="0" fontId="23" fillId="0" borderId="0" xfId="1181" applyFont="1"/>
    <xf numFmtId="0" fontId="23" fillId="0" borderId="0" xfId="1181"/>
    <xf numFmtId="0" fontId="202" fillId="0" borderId="0" xfId="1181" applyFont="1"/>
    <xf numFmtId="0" fontId="9" fillId="0" borderId="0" xfId="1181" applyFont="1"/>
    <xf numFmtId="0" fontId="187" fillId="0" borderId="0" xfId="1181" applyFont="1" applyAlignment="1"/>
    <xf numFmtId="168" fontId="11" fillId="0" borderId="0" xfId="1181" applyNumberFormat="1" applyFont="1"/>
    <xf numFmtId="0" fontId="108" fillId="0" borderId="0" xfId="1181" applyFont="1"/>
    <xf numFmtId="0" fontId="203" fillId="0" borderId="0" xfId="1181" applyFont="1"/>
    <xf numFmtId="0" fontId="11" fillId="0" borderId="0" xfId="1181" applyFont="1"/>
    <xf numFmtId="168" fontId="49" fillId="0" borderId="0" xfId="1181" applyNumberFormat="1" applyFont="1" applyAlignment="1">
      <alignment horizontal="right"/>
    </xf>
    <xf numFmtId="168" fontId="49" fillId="0" borderId="0" xfId="1181" applyNumberFormat="1" applyFont="1" applyAlignment="1">
      <alignment horizontal="left"/>
    </xf>
    <xf numFmtId="0" fontId="9" fillId="0" borderId="0" xfId="1181" applyFont="1" applyAlignment="1">
      <alignment horizontal="right"/>
    </xf>
    <xf numFmtId="169" fontId="202" fillId="0" borderId="0" xfId="1181" applyNumberFormat="1" applyFont="1"/>
    <xf numFmtId="0" fontId="12" fillId="0" borderId="0" xfId="1181" applyFont="1" applyAlignment="1">
      <alignment horizontal="right"/>
    </xf>
    <xf numFmtId="0" fontId="9" fillId="0" borderId="66" xfId="1181" applyFont="1" applyBorder="1" applyAlignment="1">
      <alignment horizontal="center" vertical="top" wrapText="1"/>
    </xf>
    <xf numFmtId="0" fontId="9" fillId="46" borderId="0" xfId="1181" applyFont="1" applyFill="1"/>
    <xf numFmtId="0" fontId="202" fillId="46" borderId="0" xfId="1181" applyFont="1" applyFill="1"/>
    <xf numFmtId="0" fontId="23" fillId="46" borderId="0" xfId="1181" applyFill="1"/>
    <xf numFmtId="0" fontId="9" fillId="0" borderId="66" xfId="1181" applyFont="1" applyBorder="1" applyAlignment="1">
      <alignment horizontal="center"/>
    </xf>
    <xf numFmtId="1" fontId="9" fillId="0" borderId="66" xfId="1181" applyNumberFormat="1" applyFont="1" applyBorder="1" applyAlignment="1">
      <alignment horizontal="center"/>
    </xf>
    <xf numFmtId="49" fontId="9" fillId="0" borderId="66" xfId="1181" applyNumberFormat="1" applyFont="1" applyBorder="1" applyAlignment="1">
      <alignment horizontal="center"/>
    </xf>
    <xf numFmtId="0" fontId="9" fillId="0" borderId="77" xfId="1181" applyFont="1" applyBorder="1" applyAlignment="1">
      <alignment horizontal="left" wrapText="1"/>
    </xf>
    <xf numFmtId="168" fontId="9" fillId="0" borderId="66" xfId="1181" applyNumberFormat="1" applyFont="1" applyBorder="1" applyAlignment="1">
      <alignment horizontal="center"/>
    </xf>
    <xf numFmtId="169" fontId="9" fillId="46" borderId="0" xfId="1181" applyNumberFormat="1" applyFont="1" applyFill="1"/>
    <xf numFmtId="168" fontId="175" fillId="46" borderId="0" xfId="1181" applyNumberFormat="1" applyFont="1" applyFill="1"/>
    <xf numFmtId="1" fontId="23" fillId="46" borderId="0" xfId="1181" applyNumberFormat="1" applyFill="1"/>
    <xf numFmtId="164" fontId="23" fillId="46" borderId="0" xfId="1181" applyNumberFormat="1" applyFill="1"/>
    <xf numFmtId="0" fontId="9" fillId="0" borderId="68" xfId="1181" applyFont="1" applyBorder="1" applyAlignment="1">
      <alignment horizontal="left" wrapText="1"/>
    </xf>
    <xf numFmtId="169" fontId="175" fillId="46" borderId="0" xfId="1181" applyNumberFormat="1" applyFont="1" applyFill="1"/>
    <xf numFmtId="169" fontId="54" fillId="46" borderId="0" xfId="1181" applyNumberFormat="1" applyFont="1" applyFill="1"/>
    <xf numFmtId="169" fontId="204" fillId="46" borderId="0" xfId="1181" applyNumberFormat="1" applyFont="1" applyFill="1"/>
    <xf numFmtId="0" fontId="204" fillId="46" borderId="0" xfId="1181" applyFont="1" applyFill="1"/>
    <xf numFmtId="168" fontId="23" fillId="46" borderId="0" xfId="1181" applyNumberFormat="1" applyFill="1"/>
    <xf numFmtId="169" fontId="9" fillId="0" borderId="66" xfId="1181" applyNumberFormat="1" applyFont="1" applyBorder="1" applyAlignment="1">
      <alignment horizontal="center"/>
    </xf>
    <xf numFmtId="10" fontId="205" fillId="46" borderId="0" xfId="1181" applyNumberFormat="1" applyFont="1" applyFill="1"/>
    <xf numFmtId="2" fontId="9" fillId="46" borderId="0" xfId="1181" applyNumberFormat="1" applyFont="1" applyFill="1"/>
    <xf numFmtId="49" fontId="9" fillId="0" borderId="66" xfId="1181" applyNumberFormat="1" applyFont="1" applyBorder="1" applyAlignment="1">
      <alignment horizontal="center" vertical="top"/>
    </xf>
    <xf numFmtId="169" fontId="202" fillId="46" borderId="0" xfId="1181" applyNumberFormat="1" applyFont="1" applyFill="1"/>
    <xf numFmtId="169" fontId="23" fillId="46" borderId="0" xfId="1181" applyNumberFormat="1" applyFill="1"/>
    <xf numFmtId="169" fontId="182" fillId="0" borderId="66" xfId="1181" applyNumberFormat="1" applyFont="1" applyBorder="1" applyAlignment="1">
      <alignment horizontal="center"/>
    </xf>
    <xf numFmtId="0" fontId="9" fillId="48" borderId="68" xfId="1181" applyFont="1" applyFill="1" applyBorder="1" applyAlignment="1">
      <alignment horizontal="left" wrapText="1"/>
    </xf>
    <xf numFmtId="169" fontId="182" fillId="48" borderId="66" xfId="1181" applyNumberFormat="1" applyFont="1" applyFill="1" applyBorder="1" applyAlignment="1">
      <alignment horizontal="center"/>
    </xf>
    <xf numFmtId="49" fontId="9" fillId="0" borderId="17" xfId="1181" applyNumberFormat="1" applyFont="1" applyBorder="1" applyAlignment="1">
      <alignment horizontal="center" vertical="top"/>
    </xf>
    <xf numFmtId="49" fontId="9" fillId="0" borderId="67" xfId="1181" applyNumberFormat="1" applyFont="1" applyBorder="1" applyAlignment="1">
      <alignment horizontal="center"/>
    </xf>
    <xf numFmtId="169" fontId="9" fillId="48" borderId="66" xfId="1181" applyNumberFormat="1" applyFont="1" applyFill="1" applyBorder="1" applyAlignment="1">
      <alignment horizontal="center"/>
    </xf>
    <xf numFmtId="49" fontId="9" fillId="0" borderId="17" xfId="1181" applyNumberFormat="1" applyFont="1" applyBorder="1" applyAlignment="1">
      <alignment horizontal="center"/>
    </xf>
    <xf numFmtId="49" fontId="9" fillId="0" borderId="78" xfId="1181" applyNumberFormat="1" applyFont="1" applyBorder="1" applyAlignment="1">
      <alignment horizontal="center"/>
    </xf>
    <xf numFmtId="0" fontId="9" fillId="0" borderId="79" xfId="1181" applyFont="1" applyBorder="1" applyAlignment="1">
      <alignment horizontal="left" wrapText="1"/>
    </xf>
    <xf numFmtId="169" fontId="9" fillId="0" borderId="78" xfId="1181" applyNumberFormat="1" applyFont="1" applyBorder="1" applyAlignment="1">
      <alignment horizontal="center"/>
    </xf>
    <xf numFmtId="168" fontId="9" fillId="0" borderId="78" xfId="1181" applyNumberFormat="1" applyFont="1" applyBorder="1" applyAlignment="1">
      <alignment horizontal="center"/>
    </xf>
    <xf numFmtId="49" fontId="9" fillId="0" borderId="68" xfId="1181" applyNumberFormat="1" applyFont="1" applyBorder="1" applyAlignment="1">
      <alignment horizontal="left" wrapText="1" indent="1"/>
    </xf>
    <xf numFmtId="169" fontId="9" fillId="0" borderId="0" xfId="1181" applyNumberFormat="1" applyFont="1"/>
    <xf numFmtId="4" fontId="23" fillId="46" borderId="0" xfId="1181" applyNumberFormat="1" applyFill="1"/>
    <xf numFmtId="3" fontId="202" fillId="0" borderId="0" xfId="1181" applyNumberFormat="1" applyFont="1"/>
    <xf numFmtId="169" fontId="9" fillId="0" borderId="67" xfId="1181" applyNumberFormat="1" applyFont="1" applyBorder="1" applyAlignment="1">
      <alignment horizontal="center"/>
    </xf>
    <xf numFmtId="0" fontId="190" fillId="46" borderId="0" xfId="1181" applyFont="1" applyFill="1" applyAlignment="1">
      <alignment horizontal="right"/>
    </xf>
    <xf numFmtId="3" fontId="23" fillId="46" borderId="0" xfId="1181" applyNumberFormat="1" applyFill="1"/>
    <xf numFmtId="3" fontId="190" fillId="46" borderId="0" xfId="1181" applyNumberFormat="1" applyFont="1" applyFill="1"/>
    <xf numFmtId="0" fontId="190" fillId="46" borderId="0" xfId="1181" applyFont="1" applyFill="1"/>
    <xf numFmtId="168" fontId="202" fillId="46" borderId="0" xfId="1181" applyNumberFormat="1" applyFont="1" applyFill="1"/>
    <xf numFmtId="0" fontId="202" fillId="46" borderId="0" xfId="1181" applyFont="1" applyFill="1" applyAlignment="1">
      <alignment horizontal="center"/>
    </xf>
    <xf numFmtId="168" fontId="9" fillId="48" borderId="66" xfId="1181" applyNumberFormat="1" applyFont="1" applyFill="1" applyBorder="1" applyAlignment="1">
      <alignment horizontal="center"/>
    </xf>
    <xf numFmtId="3" fontId="202" fillId="46" borderId="0" xfId="1181" applyNumberFormat="1" applyFont="1" applyFill="1"/>
    <xf numFmtId="0" fontId="182" fillId="0" borderId="0" xfId="1181" applyFont="1"/>
    <xf numFmtId="168" fontId="11" fillId="46" borderId="0" xfId="1181" applyNumberFormat="1" applyFont="1" applyFill="1"/>
    <xf numFmtId="0" fontId="108" fillId="46" borderId="0" xfId="1181" applyFont="1" applyFill="1"/>
    <xf numFmtId="168" fontId="49" fillId="46" borderId="0" xfId="1181" applyNumberFormat="1" applyFont="1" applyFill="1" applyAlignment="1">
      <alignment horizontal="left"/>
    </xf>
    <xf numFmtId="0" fontId="126" fillId="46" borderId="0" xfId="1181" applyFont="1" applyFill="1"/>
    <xf numFmtId="0" fontId="11" fillId="46" borderId="0" xfId="1181" applyFont="1" applyFill="1" applyAlignment="1"/>
    <xf numFmtId="0" fontId="11" fillId="46" borderId="0" xfId="1181" applyFont="1" applyFill="1"/>
    <xf numFmtId="168" fontId="49" fillId="46" borderId="0" xfId="1181" applyNumberFormat="1" applyFont="1" applyFill="1" applyAlignment="1">
      <alignment horizontal="right"/>
    </xf>
    <xf numFmtId="168" fontId="11" fillId="46" borderId="0" xfId="1181" applyNumberFormat="1" applyFont="1" applyFill="1" applyAlignment="1">
      <alignment horizontal="right"/>
    </xf>
    <xf numFmtId="0" fontId="206" fillId="0" borderId="0" xfId="0" applyFont="1"/>
    <xf numFmtId="0" fontId="202" fillId="0" borderId="0" xfId="0" applyFont="1"/>
    <xf numFmtId="0" fontId="111" fillId="46" borderId="17" xfId="1178" applyFont="1" applyFill="1" applyBorder="1" applyAlignment="1" applyProtection="1">
      <alignment horizontal="left" vertical="center" wrapText="1" indent="1"/>
    </xf>
    <xf numFmtId="0" fontId="111" fillId="46" borderId="17" xfId="1178" applyFont="1" applyFill="1" applyBorder="1" applyAlignment="1" applyProtection="1">
      <alignment horizontal="center" vertical="center" wrapText="1"/>
    </xf>
    <xf numFmtId="170" fontId="184" fillId="46" borderId="0" xfId="0" applyNumberFormat="1" applyFont="1" applyFill="1"/>
    <xf numFmtId="170" fontId="0" fillId="46" borderId="17" xfId="0" applyNumberFormat="1" applyFont="1" applyFill="1" applyBorder="1"/>
    <xf numFmtId="168" fontId="0" fillId="0" borderId="0" xfId="0" applyNumberFormat="1"/>
    <xf numFmtId="170" fontId="0" fillId="0" borderId="0" xfId="0" applyNumberFormat="1"/>
    <xf numFmtId="0" fontId="9" fillId="46" borderId="66" xfId="0" applyFont="1" applyFill="1" applyBorder="1" applyAlignment="1">
      <alignment horizontal="center" vertical="center" wrapText="1"/>
    </xf>
    <xf numFmtId="0" fontId="8" fillId="51" borderId="66" xfId="0" applyFont="1" applyFill="1" applyBorder="1" applyAlignment="1">
      <alignment horizontal="center" vertical="center" wrapText="1"/>
    </xf>
    <xf numFmtId="0" fontId="9" fillId="51" borderId="66" xfId="0" applyFont="1" applyFill="1" applyBorder="1" applyAlignment="1">
      <alignment horizontal="center" vertical="center" wrapText="1"/>
    </xf>
    <xf numFmtId="0" fontId="132" fillId="0" borderId="0" xfId="1214" applyFont="1" applyFill="1" applyAlignment="1">
      <alignment horizontal="centerContinuous" wrapText="1"/>
    </xf>
    <xf numFmtId="0" fontId="132" fillId="46" borderId="0" xfId="1214" applyFont="1" applyFill="1" applyAlignment="1">
      <alignment horizontal="centerContinuous" wrapText="1"/>
    </xf>
    <xf numFmtId="0" fontId="9" fillId="0" borderId="0" xfId="0" applyFont="1" applyAlignment="1">
      <alignment horizontal="centerContinuous" wrapText="1"/>
    </xf>
    <xf numFmtId="2" fontId="14" fillId="0" borderId="0" xfId="0" applyNumberFormat="1" applyFont="1" applyBorder="1"/>
    <xf numFmtId="0" fontId="9" fillId="46" borderId="0" xfId="0" applyFont="1" applyFill="1" applyBorder="1"/>
    <xf numFmtId="0" fontId="14" fillId="0" borderId="0" xfId="0" applyFont="1" applyAlignment="1">
      <alignment horizontal="right"/>
    </xf>
    <xf numFmtId="164" fontId="49" fillId="48" borderId="0" xfId="0" applyNumberFormat="1" applyFont="1" applyFill="1"/>
    <xf numFmtId="0" fontId="49" fillId="48" borderId="0" xfId="0" applyFont="1" applyFill="1"/>
    <xf numFmtId="0" fontId="175" fillId="0" borderId="0" xfId="0" applyFont="1" applyAlignment="1">
      <alignment horizontal="right"/>
    </xf>
    <xf numFmtId="0" fontId="57" fillId="0" borderId="0" xfId="1217" applyFont="1" applyBorder="1" applyAlignment="1">
      <alignment horizontal="centerContinuous" wrapText="1"/>
    </xf>
    <xf numFmtId="0" fontId="68" fillId="0" borderId="0" xfId="1217" applyFont="1" applyBorder="1" applyAlignment="1">
      <alignment horizontal="centerContinuous" wrapText="1"/>
    </xf>
    <xf numFmtId="0" fontId="205" fillId="0" borderId="0" xfId="1207" applyFont="1"/>
    <xf numFmtId="0" fontId="23" fillId="0" borderId="0" xfId="1207"/>
    <xf numFmtId="0" fontId="133" fillId="0" borderId="0" xfId="1217" applyFont="1" applyBorder="1" applyAlignment="1">
      <alignment horizontal="centerContinuous" wrapText="1"/>
    </xf>
    <xf numFmtId="0" fontId="23" fillId="0" borderId="0" xfId="1207" applyAlignment="1">
      <alignment horizontal="centerContinuous"/>
    </xf>
    <xf numFmtId="0" fontId="11" fillId="0" borderId="0" xfId="1217" applyFont="1" applyBorder="1" applyAlignment="1">
      <alignment horizontal="centerContinuous" wrapText="1"/>
    </xf>
    <xf numFmtId="0" fontId="183" fillId="0" borderId="0" xfId="1207" applyFont="1"/>
    <xf numFmtId="0" fontId="9" fillId="0" borderId="0" xfId="1207" applyFont="1"/>
    <xf numFmtId="0" fontId="9" fillId="46" borderId="24" xfId="0" quotePrefix="1" applyFont="1" applyFill="1" applyBorder="1" applyAlignment="1">
      <alignment horizontal="center"/>
    </xf>
    <xf numFmtId="0" fontId="84" fillId="46" borderId="24" xfId="0" applyFont="1" applyFill="1" applyBorder="1" applyAlignment="1">
      <alignment horizontal="center"/>
    </xf>
    <xf numFmtId="170" fontId="11" fillId="0" borderId="17" xfId="1176" applyNumberFormat="1" applyFont="1" applyBorder="1" applyAlignment="1">
      <alignment horizontal="right"/>
    </xf>
    <xf numFmtId="170" fontId="11" fillId="0" borderId="17" xfId="1176" applyNumberFormat="1" applyFont="1" applyFill="1" applyBorder="1" applyAlignment="1">
      <alignment horizontal="right"/>
    </xf>
    <xf numFmtId="0" fontId="11" fillId="0" borderId="17" xfId="1176" applyFont="1" applyBorder="1"/>
    <xf numFmtId="0" fontId="49" fillId="44" borderId="17" xfId="1176" applyFont="1" applyFill="1" applyBorder="1"/>
    <xf numFmtId="0" fontId="49" fillId="44" borderId="17" xfId="1176" applyFont="1" applyFill="1" applyBorder="1" applyAlignment="1">
      <alignment horizontal="left"/>
    </xf>
    <xf numFmtId="170" fontId="49" fillId="44" borderId="17" xfId="1176" applyNumberFormat="1" applyFont="1" applyFill="1" applyBorder="1" applyAlignment="1">
      <alignment horizontal="right"/>
    </xf>
    <xf numFmtId="0" fontId="11" fillId="46" borderId="17" xfId="1207" applyFont="1" applyFill="1" applyBorder="1" applyAlignment="1">
      <alignment horizontal="left" wrapText="1"/>
    </xf>
    <xf numFmtId="0" fontId="9" fillId="46" borderId="17" xfId="1207" applyFont="1" applyFill="1" applyBorder="1" applyAlignment="1">
      <alignment horizontal="center" wrapText="1"/>
    </xf>
    <xf numFmtId="1" fontId="11" fillId="46" borderId="17" xfId="1207" applyNumberFormat="1" applyFont="1" applyFill="1" applyBorder="1" applyAlignment="1">
      <alignment horizontal="right" wrapText="1"/>
    </xf>
    <xf numFmtId="170" fontId="183" fillId="46" borderId="0" xfId="1207" applyNumberFormat="1" applyFont="1" applyFill="1"/>
    <xf numFmtId="0" fontId="13" fillId="46" borderId="0" xfId="1207" applyFont="1" applyFill="1"/>
    <xf numFmtId="170" fontId="11" fillId="46" borderId="17" xfId="1207" applyNumberFormat="1" applyFont="1" applyFill="1" applyBorder="1" applyAlignment="1">
      <alignment horizontal="right" wrapText="1"/>
    </xf>
    <xf numFmtId="4" fontId="11" fillId="46" borderId="17" xfId="1207" applyNumberFormat="1" applyFont="1" applyFill="1" applyBorder="1" applyAlignment="1">
      <alignment horizontal="right" wrapText="1"/>
    </xf>
    <xf numFmtId="4" fontId="51" fillId="46" borderId="17" xfId="1207" applyNumberFormat="1" applyFont="1" applyFill="1" applyBorder="1" applyAlignment="1">
      <alignment horizontal="right" wrapText="1"/>
    </xf>
    <xf numFmtId="0" fontId="49" fillId="46" borderId="17" xfId="1207" applyFont="1" applyFill="1" applyBorder="1" applyAlignment="1">
      <alignment horizontal="left" wrapText="1"/>
    </xf>
    <xf numFmtId="0" fontId="14" fillId="46" borderId="17" xfId="1207" applyFont="1" applyFill="1" applyBorder="1" applyAlignment="1">
      <alignment horizontal="center" wrapText="1"/>
    </xf>
    <xf numFmtId="170" fontId="49" fillId="46" borderId="17" xfId="1207" applyNumberFormat="1" applyFont="1" applyFill="1" applyBorder="1" applyAlignment="1">
      <alignment horizontal="right" wrapText="1"/>
    </xf>
    <xf numFmtId="0" fontId="11" fillId="0" borderId="0" xfId="1181" applyFont="1" applyAlignment="1"/>
    <xf numFmtId="0" fontId="14" fillId="46" borderId="0" xfId="0" applyFont="1" applyFill="1" applyAlignment="1">
      <alignment horizontal="right"/>
    </xf>
    <xf numFmtId="0" fontId="9" fillId="46" borderId="0" xfId="0" applyFont="1" applyFill="1" applyBorder="1" applyAlignment="1">
      <alignment vertical="top" wrapText="1"/>
    </xf>
    <xf numFmtId="0" fontId="9" fillId="46" borderId="17" xfId="0" applyFont="1" applyFill="1" applyBorder="1"/>
    <xf numFmtId="170" fontId="0" fillId="46" borderId="17" xfId="0" applyNumberFormat="1" applyFont="1" applyFill="1" applyBorder="1" applyAlignment="1">
      <alignment vertical="center" wrapText="1"/>
    </xf>
    <xf numFmtId="170" fontId="0" fillId="46" borderId="17" xfId="0" applyNumberFormat="1" applyFont="1" applyFill="1" applyBorder="1" applyAlignment="1">
      <alignment wrapText="1"/>
    </xf>
    <xf numFmtId="0" fontId="126" fillId="46" borderId="0" xfId="0" applyFont="1" applyFill="1" applyBorder="1" applyAlignment="1">
      <alignment horizontal="right" vertical="center" wrapText="1"/>
    </xf>
    <xf numFmtId="0" fontId="49" fillId="46" borderId="0" xfId="0" applyFont="1" applyFill="1" applyBorder="1" applyAlignment="1">
      <alignment horizontal="center" wrapText="1"/>
    </xf>
    <xf numFmtId="0" fontId="126" fillId="46" borderId="17" xfId="0" applyFont="1" applyFill="1" applyBorder="1" applyAlignment="1">
      <alignment horizontal="center" vertical="center" wrapText="1"/>
    </xf>
    <xf numFmtId="0" fontId="20" fillId="46" borderId="17" xfId="0" applyFont="1" applyFill="1" applyBorder="1" applyAlignment="1">
      <alignment horizontal="center"/>
    </xf>
    <xf numFmtId="0" fontId="130" fillId="46" borderId="17" xfId="0" applyFont="1" applyFill="1" applyBorder="1" applyAlignment="1">
      <alignment horizontal="left" vertical="center" wrapText="1"/>
    </xf>
    <xf numFmtId="0" fontId="130" fillId="46" borderId="17" xfId="0" applyFont="1" applyFill="1" applyBorder="1" applyAlignment="1">
      <alignment vertical="center" wrapText="1"/>
    </xf>
    <xf numFmtId="0" fontId="110" fillId="46" borderId="17" xfId="1178" applyFont="1" applyFill="1" applyBorder="1" applyAlignment="1" applyProtection="1">
      <alignment horizontal="center" vertical="center" wrapText="1"/>
    </xf>
    <xf numFmtId="170" fontId="66" fillId="46" borderId="17" xfId="0" applyNumberFormat="1" applyFont="1" applyFill="1" applyBorder="1" applyAlignment="1">
      <alignment vertical="center" wrapText="1"/>
    </xf>
    <xf numFmtId="0" fontId="134" fillId="46" borderId="17" xfId="1178" applyFont="1" applyFill="1" applyBorder="1" applyAlignment="1" applyProtection="1">
      <alignment horizontal="center" vertical="center" wrapText="1"/>
    </xf>
    <xf numFmtId="0" fontId="66" fillId="46" borderId="17" xfId="0" applyFont="1" applyFill="1" applyBorder="1" applyAlignment="1">
      <alignment horizontal="left" vertical="center" wrapText="1" indent="1"/>
    </xf>
    <xf numFmtId="0" fontId="110" fillId="46" borderId="17" xfId="1178" applyFont="1" applyFill="1" applyBorder="1" applyAlignment="1" applyProtection="1">
      <alignment vertical="center" wrapText="1"/>
    </xf>
    <xf numFmtId="0" fontId="0" fillId="46" borderId="17" xfId="0" applyFont="1" applyFill="1" applyBorder="1" applyAlignment="1">
      <alignment horizontal="right" vertical="distributed" wrapText="1" indent="2"/>
    </xf>
    <xf numFmtId="0" fontId="131" fillId="46" borderId="17" xfId="0" applyFont="1" applyFill="1" applyBorder="1" applyAlignment="1">
      <alignment horizontal="right" vertical="center" wrapText="1"/>
    </xf>
    <xf numFmtId="0" fontId="135" fillId="46" borderId="17" xfId="1178" applyFont="1" applyFill="1" applyBorder="1" applyAlignment="1" applyProtection="1">
      <alignment horizontal="left" vertical="center" wrapText="1" indent="3"/>
    </xf>
    <xf numFmtId="3" fontId="135" fillId="46" borderId="17" xfId="1178" applyNumberFormat="1" applyFont="1" applyFill="1" applyBorder="1" applyAlignment="1" applyProtection="1">
      <alignment horizontal="left" vertical="center" wrapText="1" indent="3"/>
    </xf>
    <xf numFmtId="173" fontId="9" fillId="46" borderId="17" xfId="1215" applyNumberFormat="1" applyFont="1" applyFill="1" applyBorder="1" applyAlignment="1">
      <alignment horizontal="right"/>
    </xf>
    <xf numFmtId="0" fontId="110" fillId="46" borderId="17" xfId="1178" applyFont="1" applyFill="1" applyBorder="1" applyAlignment="1" applyProtection="1">
      <alignment horizontal="left" vertical="center" wrapText="1" indent="1"/>
    </xf>
    <xf numFmtId="170" fontId="66" fillId="46" borderId="17" xfId="0" applyNumberFormat="1" applyFont="1" applyFill="1" applyBorder="1"/>
    <xf numFmtId="0" fontId="110" fillId="46" borderId="17" xfId="1025" applyFont="1" applyFill="1" applyBorder="1" applyAlignment="1" applyProtection="1">
      <alignment horizontal="left" vertical="center" wrapText="1"/>
    </xf>
    <xf numFmtId="0" fontId="110" fillId="46" borderId="17" xfId="1178" applyFont="1" applyFill="1" applyBorder="1" applyAlignment="1" applyProtection="1">
      <alignment vertical="top" wrapText="1"/>
    </xf>
    <xf numFmtId="0" fontId="0" fillId="46" borderId="0" xfId="0" applyFont="1" applyFill="1" applyBorder="1" applyAlignment="1">
      <alignment vertical="center" wrapText="1"/>
    </xf>
    <xf numFmtId="0" fontId="0" fillId="46" borderId="0" xfId="0" applyFont="1" applyFill="1" applyBorder="1"/>
    <xf numFmtId="0" fontId="0" fillId="46" borderId="0" xfId="0" applyFont="1" applyFill="1" applyBorder="1" applyAlignment="1">
      <alignment horizontal="left" vertical="center"/>
    </xf>
    <xf numFmtId="173" fontId="14" fillId="48" borderId="17" xfId="1215" applyNumberFormat="1" applyFont="1" applyFill="1" applyBorder="1" applyAlignment="1">
      <alignment horizontal="right" wrapText="1"/>
    </xf>
    <xf numFmtId="0" fontId="13" fillId="46" borderId="17" xfId="0" applyFont="1" applyFill="1" applyBorder="1" applyAlignment="1">
      <alignment horizontal="center" wrapText="1"/>
    </xf>
    <xf numFmtId="0" fontId="13" fillId="46" borderId="17" xfId="0" applyFont="1" applyFill="1" applyBorder="1" applyAlignment="1">
      <alignment horizontal="center"/>
    </xf>
    <xf numFmtId="2" fontId="75" fillId="0" borderId="0" xfId="0" applyNumberFormat="1" applyFont="1" applyAlignment="1">
      <alignment horizontal="center" wrapText="1"/>
    </xf>
    <xf numFmtId="169" fontId="51" fillId="0" borderId="0" xfId="0" applyNumberFormat="1" applyFont="1"/>
    <xf numFmtId="0" fontId="11" fillId="0" borderId="0" xfId="0" applyFont="1" applyBorder="1" applyAlignment="1">
      <alignment horizontal="right"/>
    </xf>
    <xf numFmtId="0" fontId="57" fillId="48" borderId="0" xfId="1214" applyFont="1" applyFill="1" applyAlignment="1">
      <alignment horizontal="centerContinuous" wrapText="1"/>
    </xf>
    <xf numFmtId="0" fontId="11" fillId="48" borderId="0" xfId="0" applyFont="1" applyFill="1" applyAlignment="1">
      <alignment horizontal="centerContinuous" wrapText="1"/>
    </xf>
    <xf numFmtId="0" fontId="188" fillId="48" borderId="0" xfId="0" applyFont="1" applyFill="1"/>
    <xf numFmtId="0" fontId="14" fillId="48" borderId="0" xfId="0" applyFont="1" applyFill="1" applyAlignment="1">
      <alignment horizontal="center"/>
    </xf>
    <xf numFmtId="0" fontId="14" fillId="48" borderId="0" xfId="0" applyFont="1" applyFill="1"/>
    <xf numFmtId="0" fontId="11" fillId="48" borderId="17" xfId="0" applyFont="1" applyFill="1" applyBorder="1" applyAlignment="1">
      <alignment horizontal="center" vertical="top" wrapText="1"/>
    </xf>
    <xf numFmtId="0" fontId="51" fillId="48" borderId="17" xfId="0" applyFont="1" applyFill="1" applyBorder="1" applyAlignment="1">
      <alignment horizontal="center" vertical="top" wrapText="1"/>
    </xf>
    <xf numFmtId="0" fontId="75" fillId="48" borderId="0" xfId="0" applyFont="1" applyFill="1" applyAlignment="1">
      <alignment horizontal="center" wrapText="1"/>
    </xf>
    <xf numFmtId="0" fontId="11" fillId="48" borderId="17" xfId="0" applyFont="1" applyFill="1" applyBorder="1" applyAlignment="1">
      <alignment horizontal="left" wrapText="1"/>
    </xf>
    <xf numFmtId="0" fontId="51" fillId="48" borderId="17" xfId="0" applyFont="1" applyFill="1" applyBorder="1" applyAlignment="1">
      <alignment horizontal="center" wrapText="1"/>
    </xf>
    <xf numFmtId="0" fontId="51" fillId="48" borderId="17" xfId="0" applyFont="1" applyFill="1" applyBorder="1" applyAlignment="1">
      <alignment horizontal="center"/>
    </xf>
    <xf numFmtId="4" fontId="11" fillId="48" borderId="17" xfId="0" applyNumberFormat="1" applyFont="1" applyFill="1" applyBorder="1" applyAlignment="1">
      <alignment horizontal="right"/>
    </xf>
    <xf numFmtId="4" fontId="11" fillId="48" borderId="17" xfId="0" applyNumberFormat="1" applyFont="1" applyFill="1" applyBorder="1"/>
    <xf numFmtId="4" fontId="75" fillId="48" borderId="0" xfId="0" applyNumberFormat="1" applyFont="1" applyFill="1" applyAlignment="1">
      <alignment horizontal="center" wrapText="1"/>
    </xf>
    <xf numFmtId="0" fontId="49" fillId="48" borderId="17" xfId="0" applyFont="1" applyFill="1" applyBorder="1" applyAlignment="1">
      <alignment horizontal="left" wrapText="1"/>
    </xf>
    <xf numFmtId="0" fontId="13" fillId="48" borderId="17" xfId="0" applyFont="1" applyFill="1" applyBorder="1" applyAlignment="1">
      <alignment horizontal="center" wrapText="1"/>
    </xf>
    <xf numFmtId="0" fontId="13" fillId="48" borderId="17" xfId="0" applyFont="1" applyFill="1" applyBorder="1" applyAlignment="1">
      <alignment horizontal="center"/>
    </xf>
    <xf numFmtId="4" fontId="49" fillId="48" borderId="17" xfId="0" applyNumberFormat="1" applyFont="1" applyFill="1" applyBorder="1" applyAlignment="1">
      <alignment horizontal="right"/>
    </xf>
    <xf numFmtId="4" fontId="49" fillId="48" borderId="17" xfId="0" applyNumberFormat="1" applyFont="1" applyFill="1" applyBorder="1"/>
    <xf numFmtId="4" fontId="55" fillId="48" borderId="0" xfId="0" applyNumberFormat="1" applyFont="1" applyFill="1" applyAlignment="1">
      <alignment horizontal="center" wrapText="1"/>
    </xf>
    <xf numFmtId="0" fontId="11" fillId="48" borderId="0" xfId="0" applyFont="1" applyFill="1" applyBorder="1"/>
    <xf numFmtId="2" fontId="49" fillId="48" borderId="0" xfId="0" applyNumberFormat="1" applyFont="1" applyFill="1" applyBorder="1"/>
    <xf numFmtId="0" fontId="60" fillId="48" borderId="0" xfId="1176" applyFont="1" applyFill="1" applyBorder="1" applyAlignment="1">
      <alignment horizontal="left" vertical="center"/>
    </xf>
    <xf numFmtId="44" fontId="74" fillId="48" borderId="0" xfId="931" applyFont="1" applyFill="1" applyBorder="1" applyAlignment="1">
      <alignment horizontal="center" vertical="center" wrapText="1"/>
    </xf>
    <xf numFmtId="44" fontId="62" fillId="48" borderId="0" xfId="931" applyFont="1" applyFill="1" applyBorder="1" applyAlignment="1">
      <alignment horizontal="center" vertical="center" wrapText="1"/>
    </xf>
    <xf numFmtId="44" fontId="47" fillId="48" borderId="0" xfId="931" applyFont="1" applyFill="1" applyBorder="1" applyAlignment="1">
      <alignment horizontal="centerContinuous" vertical="center" wrapText="1"/>
    </xf>
    <xf numFmtId="44" fontId="47" fillId="48" borderId="0" xfId="931" applyFont="1" applyFill="1" applyBorder="1" applyAlignment="1">
      <alignment horizontal="center" vertical="center" wrapText="1"/>
    </xf>
    <xf numFmtId="44" fontId="207" fillId="48" borderId="0" xfId="931" applyFont="1" applyFill="1"/>
    <xf numFmtId="44" fontId="69" fillId="48" borderId="0" xfId="931" applyFont="1" applyFill="1" applyAlignment="1">
      <alignment horizontal="center" vertical="center" wrapText="1"/>
    </xf>
    <xf numFmtId="0" fontId="74" fillId="48" borderId="0" xfId="1176" applyFont="1" applyFill="1" applyBorder="1" applyAlignment="1">
      <alignment horizontal="center" vertical="center" wrapText="1"/>
    </xf>
    <xf numFmtId="4" fontId="62" fillId="48" borderId="0" xfId="1176" applyNumberFormat="1" applyFont="1" applyFill="1" applyBorder="1" applyAlignment="1">
      <alignment horizontal="center" vertical="center" wrapText="1"/>
    </xf>
    <xf numFmtId="10" fontId="47" fillId="48" borderId="0" xfId="1176" applyNumberFormat="1" applyFont="1" applyFill="1" applyBorder="1" applyAlignment="1">
      <alignment horizontal="centerContinuous" vertical="center" wrapText="1"/>
    </xf>
    <xf numFmtId="10" fontId="47" fillId="48" borderId="0" xfId="1176" applyNumberFormat="1" applyFont="1" applyFill="1" applyBorder="1" applyAlignment="1">
      <alignment horizontal="center" vertical="center" wrapText="1"/>
    </xf>
    <xf numFmtId="170" fontId="47" fillId="48" borderId="0" xfId="1176" applyNumberFormat="1" applyFont="1" applyFill="1" applyBorder="1" applyAlignment="1">
      <alignment horizontal="center" vertical="center" wrapText="1"/>
    </xf>
    <xf numFmtId="0" fontId="59" fillId="48" borderId="0" xfId="0" applyFont="1" applyFill="1"/>
    <xf numFmtId="4" fontId="59" fillId="48" borderId="0" xfId="0" applyNumberFormat="1" applyFont="1" applyFill="1"/>
    <xf numFmtId="0" fontId="62" fillId="48" borderId="0" xfId="1176" applyFont="1" applyFill="1" applyAlignment="1">
      <alignment horizontal="center" vertical="center" wrapText="1"/>
    </xf>
    <xf numFmtId="0" fontId="69" fillId="48" borderId="0" xfId="1176" applyFont="1" applyFill="1" applyAlignment="1">
      <alignment horizontal="center" vertical="center" wrapText="1"/>
    </xf>
    <xf numFmtId="0" fontId="64" fillId="48" borderId="0" xfId="1176" applyFont="1" applyFill="1" applyBorder="1" applyAlignment="1">
      <alignment horizontal="left" vertical="center"/>
    </xf>
    <xf numFmtId="0" fontId="62" fillId="48" borderId="0" xfId="1176" applyFont="1" applyFill="1" applyBorder="1" applyAlignment="1">
      <alignment horizontal="center" vertical="center" wrapText="1"/>
    </xf>
    <xf numFmtId="10" fontId="62" fillId="48" borderId="0" xfId="1176" applyNumberFormat="1" applyFont="1" applyFill="1" applyBorder="1" applyAlignment="1">
      <alignment horizontal="center" vertical="center" wrapText="1"/>
    </xf>
    <xf numFmtId="173" fontId="13" fillId="48" borderId="0" xfId="1215" applyNumberFormat="1" applyFont="1" applyFill="1" applyBorder="1" applyAlignment="1">
      <alignment horizontal="center" vertical="center" wrapText="1"/>
    </xf>
    <xf numFmtId="170" fontId="62" fillId="48" borderId="0" xfId="1176" applyNumberFormat="1" applyFont="1" applyFill="1" applyBorder="1" applyAlignment="1">
      <alignment horizontal="center" vertical="center" wrapText="1"/>
    </xf>
    <xf numFmtId="170" fontId="64" fillId="48" borderId="0" xfId="1176" applyNumberFormat="1" applyFont="1" applyFill="1" applyBorder="1" applyAlignment="1">
      <alignment horizontal="right" vertical="center" wrapText="1"/>
    </xf>
    <xf numFmtId="0" fontId="197" fillId="48" borderId="0" xfId="1176" applyFont="1" applyFill="1" applyAlignment="1">
      <alignment horizontal="center" vertical="center" wrapText="1"/>
    </xf>
    <xf numFmtId="4" fontId="197" fillId="48" borderId="0" xfId="1176" applyNumberFormat="1" applyFont="1" applyFill="1" applyAlignment="1">
      <alignment horizontal="center" vertical="center" wrapText="1"/>
    </xf>
    <xf numFmtId="10" fontId="64" fillId="48" borderId="0" xfId="1176" applyNumberFormat="1" applyFont="1" applyFill="1" applyBorder="1" applyAlignment="1">
      <alignment horizontal="left" vertical="center" wrapText="1"/>
    </xf>
    <xf numFmtId="0" fontId="60" fillId="48" borderId="0" xfId="1176" applyFont="1" applyFill="1" applyBorder="1" applyAlignment="1">
      <alignment horizontal="right" vertical="center"/>
    </xf>
    <xf numFmtId="10" fontId="64" fillId="48" borderId="0" xfId="1176" applyNumberFormat="1" applyFont="1" applyFill="1" applyAlignment="1">
      <alignment horizontal="left" vertical="center" wrapText="1"/>
    </xf>
    <xf numFmtId="4" fontId="11" fillId="48" borderId="0" xfId="0" applyNumberFormat="1" applyFont="1" applyFill="1"/>
    <xf numFmtId="4" fontId="175" fillId="48" borderId="0" xfId="0" applyNumberFormat="1" applyFont="1" applyFill="1" applyAlignment="1">
      <alignment horizontal="right"/>
    </xf>
    <xf numFmtId="4" fontId="175" fillId="48" borderId="0" xfId="0" applyNumberFormat="1" applyFont="1" applyFill="1"/>
    <xf numFmtId="49" fontId="9" fillId="46" borderId="17" xfId="1208" applyNumberFormat="1" applyFont="1" applyFill="1" applyBorder="1" applyAlignment="1">
      <alignment horizontal="center" wrapText="1"/>
    </xf>
    <xf numFmtId="0" fontId="11" fillId="46" borderId="17" xfId="1208" applyFont="1" applyFill="1" applyBorder="1" applyAlignment="1">
      <alignment horizontal="center" wrapText="1"/>
    </xf>
    <xf numFmtId="0" fontId="11" fillId="46" borderId="0" xfId="0" applyFont="1" applyFill="1" applyAlignment="1">
      <alignment horizontal="right"/>
    </xf>
    <xf numFmtId="164" fontId="175" fillId="46" borderId="0" xfId="0" applyNumberFormat="1" applyFont="1" applyFill="1"/>
    <xf numFmtId="164" fontId="188" fillId="46" borderId="0" xfId="0" applyNumberFormat="1" applyFont="1" applyFill="1"/>
    <xf numFmtId="4" fontId="49" fillId="0" borderId="0" xfId="0" applyNumberFormat="1" applyFont="1" applyAlignment="1">
      <alignment horizontal="right"/>
    </xf>
    <xf numFmtId="170" fontId="49" fillId="0" borderId="0" xfId="0" applyNumberFormat="1" applyFont="1" applyAlignment="1">
      <alignment horizontal="right"/>
    </xf>
    <xf numFmtId="0" fontId="188" fillId="46" borderId="0" xfId="0" applyFont="1" applyFill="1" applyAlignment="1">
      <alignment horizontal="right"/>
    </xf>
    <xf numFmtId="196" fontId="51" fillId="46" borderId="17" xfId="1215" applyNumberFormat="1" applyFont="1" applyFill="1" applyBorder="1" applyAlignment="1">
      <alignment horizontal="right" wrapText="1"/>
    </xf>
    <xf numFmtId="171" fontId="16" fillId="0" borderId="0" xfId="0" applyNumberFormat="1" applyFont="1"/>
    <xf numFmtId="170" fontId="208" fillId="48" borderId="17" xfId="0" applyNumberFormat="1" applyFont="1" applyFill="1" applyBorder="1"/>
    <xf numFmtId="171" fontId="208" fillId="48" borderId="17" xfId="0" applyNumberFormat="1" applyFont="1" applyFill="1" applyBorder="1"/>
    <xf numFmtId="169" fontId="208" fillId="48" borderId="17" xfId="0" applyNumberFormat="1" applyFont="1" applyFill="1" applyBorder="1"/>
    <xf numFmtId="170" fontId="208" fillId="46" borderId="17" xfId="0" applyNumberFormat="1" applyFont="1" applyFill="1" applyBorder="1"/>
    <xf numFmtId="171" fontId="208" fillId="46" borderId="17" xfId="0" applyNumberFormat="1" applyFont="1" applyFill="1" applyBorder="1"/>
    <xf numFmtId="167" fontId="16" fillId="46" borderId="0" xfId="0" applyNumberFormat="1" applyFont="1" applyFill="1"/>
    <xf numFmtId="1" fontId="16" fillId="46" borderId="0" xfId="0" applyNumberFormat="1" applyFont="1" applyFill="1"/>
    <xf numFmtId="169" fontId="191" fillId="0" borderId="0" xfId="0" applyNumberFormat="1" applyFont="1"/>
    <xf numFmtId="171" fontId="191" fillId="0" borderId="0" xfId="0" applyNumberFormat="1" applyFont="1"/>
    <xf numFmtId="169" fontId="209" fillId="49" borderId="17" xfId="0" applyNumberFormat="1" applyFont="1" applyFill="1" applyBorder="1"/>
    <xf numFmtId="170" fontId="210" fillId="46" borderId="17" xfId="0" applyNumberFormat="1" applyFont="1" applyFill="1" applyBorder="1"/>
    <xf numFmtId="169" fontId="210" fillId="46" borderId="17" xfId="0" applyNumberFormat="1" applyFont="1" applyFill="1" applyBorder="1"/>
    <xf numFmtId="171" fontId="210" fillId="46" borderId="17" xfId="0" applyNumberFormat="1" applyFont="1" applyFill="1" applyBorder="1"/>
    <xf numFmtId="0" fontId="137" fillId="0" borderId="0" xfId="1183" applyFont="1"/>
    <xf numFmtId="0" fontId="18" fillId="0" borderId="0" xfId="1183"/>
    <xf numFmtId="0" fontId="202" fillId="44" borderId="0" xfId="1183" applyFont="1" applyFill="1"/>
    <xf numFmtId="0" fontId="138" fillId="0" borderId="0" xfId="1183" applyFont="1" applyAlignment="1">
      <alignment vertical="center" wrapText="1"/>
    </xf>
    <xf numFmtId="195" fontId="202" fillId="44" borderId="0" xfId="1183" applyNumberFormat="1" applyFont="1" applyFill="1"/>
    <xf numFmtId="169" fontId="202" fillId="44" borderId="0" xfId="1183" applyNumberFormat="1" applyFont="1" applyFill="1"/>
    <xf numFmtId="0" fontId="138" fillId="0" borderId="0" xfId="1183" applyFont="1" applyAlignment="1">
      <alignment horizontal="center" wrapText="1"/>
    </xf>
    <xf numFmtId="0" fontId="140" fillId="0" borderId="0" xfId="1183" applyFont="1" applyBorder="1" applyAlignment="1">
      <alignment vertical="center" wrapText="1"/>
    </xf>
    <xf numFmtId="194" fontId="18" fillId="0" borderId="0" xfId="1183" applyNumberFormat="1"/>
    <xf numFmtId="0" fontId="139" fillId="46" borderId="67" xfId="1183" applyFont="1" applyFill="1" applyBorder="1" applyAlignment="1">
      <alignment horizontal="center" vertical="center"/>
    </xf>
    <xf numFmtId="0" fontId="139" fillId="46" borderId="80" xfId="1183" applyFont="1" applyFill="1" applyBorder="1" applyAlignment="1">
      <alignment horizontal="center" vertical="center"/>
    </xf>
    <xf numFmtId="0" fontId="205" fillId="44" borderId="0" xfId="1183" applyFont="1" applyFill="1" applyBorder="1" applyAlignment="1">
      <alignment vertical="center"/>
    </xf>
    <xf numFmtId="0" fontId="190" fillId="44" borderId="0" xfId="1183" applyFont="1" applyFill="1"/>
    <xf numFmtId="195" fontId="18" fillId="0" borderId="0" xfId="1183" applyNumberFormat="1"/>
    <xf numFmtId="0" fontId="141" fillId="0" borderId="0" xfId="1183" applyFont="1" applyBorder="1" applyAlignment="1">
      <alignment vertical="center"/>
    </xf>
    <xf numFmtId="0" fontId="139" fillId="46" borderId="81" xfId="1183" applyFont="1" applyFill="1" applyBorder="1" applyAlignment="1">
      <alignment vertical="center" wrapText="1"/>
    </xf>
    <xf numFmtId="0" fontId="139" fillId="46" borderId="82" xfId="1183" applyFont="1" applyFill="1" applyBorder="1" applyAlignment="1">
      <alignment vertical="center" wrapText="1"/>
    </xf>
    <xf numFmtId="199" fontId="142" fillId="51" borderId="0" xfId="1216" applyNumberFormat="1" applyFont="1" applyFill="1" applyBorder="1" applyAlignment="1">
      <alignment vertical="center" wrapText="1"/>
    </xf>
    <xf numFmtId="0" fontId="18" fillId="48" borderId="0" xfId="1183" applyFill="1"/>
    <xf numFmtId="0" fontId="139" fillId="46" borderId="83" xfId="1183" applyFont="1" applyFill="1" applyBorder="1" applyAlignment="1">
      <alignment vertical="center" wrapText="1"/>
    </xf>
    <xf numFmtId="173" fontId="139" fillId="46" borderId="84" xfId="1183" applyNumberFormat="1" applyFont="1" applyFill="1" applyBorder="1" applyAlignment="1">
      <alignment vertical="center"/>
    </xf>
    <xf numFmtId="173" fontId="18" fillId="0" borderId="0" xfId="1183" applyNumberFormat="1"/>
    <xf numFmtId="169" fontId="139" fillId="46" borderId="85" xfId="1183" applyNumberFormat="1" applyFont="1" applyFill="1" applyBorder="1" applyAlignment="1">
      <alignment vertical="center"/>
    </xf>
    <xf numFmtId="3" fontId="18" fillId="48" borderId="0" xfId="1183" applyNumberFormat="1" applyFill="1"/>
    <xf numFmtId="170" fontId="139" fillId="46" borderId="84" xfId="1183" applyNumberFormat="1" applyFont="1" applyFill="1" applyBorder="1" applyAlignment="1">
      <alignment vertical="center"/>
    </xf>
    <xf numFmtId="0" fontId="18" fillId="0" borderId="0" xfId="1183" applyBorder="1"/>
    <xf numFmtId="168" fontId="174" fillId="0" borderId="0" xfId="1183" applyNumberFormat="1" applyFont="1"/>
    <xf numFmtId="170" fontId="18" fillId="44" borderId="0" xfId="1183" applyNumberFormat="1" applyFill="1"/>
    <xf numFmtId="0" fontId="18" fillId="44" borderId="0" xfId="1183" applyFill="1"/>
    <xf numFmtId="170" fontId="18" fillId="44" borderId="0" xfId="1183" applyNumberFormat="1" applyFill="1" applyAlignment="1">
      <alignment vertical="top"/>
    </xf>
    <xf numFmtId="195" fontId="142" fillId="51" borderId="84" xfId="1216" applyNumberFormat="1" applyFont="1" applyFill="1" applyBorder="1" applyAlignment="1">
      <alignment horizontal="right" vertical="center" wrapText="1"/>
    </xf>
    <xf numFmtId="170" fontId="139" fillId="46" borderId="84" xfId="1183" applyNumberFormat="1" applyFont="1" applyFill="1" applyBorder="1" applyAlignment="1">
      <alignment horizontal="center"/>
    </xf>
    <xf numFmtId="170" fontId="139" fillId="46" borderId="86" xfId="1183" applyNumberFormat="1" applyFont="1" applyFill="1" applyBorder="1" applyAlignment="1">
      <alignment horizontal="center"/>
    </xf>
    <xf numFmtId="170" fontId="18" fillId="33" borderId="0" xfId="1183" applyNumberFormat="1" applyFill="1"/>
    <xf numFmtId="0" fontId="18" fillId="33" borderId="0" xfId="1183" applyFill="1"/>
    <xf numFmtId="168" fontId="18" fillId="0" borderId="0" xfId="1183" applyNumberFormat="1"/>
    <xf numFmtId="195" fontId="142" fillId="51" borderId="66" xfId="1216" applyNumberFormat="1" applyFont="1" applyFill="1" applyBorder="1" applyAlignment="1">
      <alignment horizontal="right" vertical="center" wrapText="1"/>
    </xf>
    <xf numFmtId="169" fontId="139" fillId="46" borderId="85" xfId="1183" applyNumberFormat="1" applyFont="1" applyFill="1" applyBorder="1" applyAlignment="1">
      <alignment horizontal="center"/>
    </xf>
    <xf numFmtId="169" fontId="139" fillId="46" borderId="87" xfId="1183" applyNumberFormat="1" applyFont="1" applyFill="1" applyBorder="1" applyAlignment="1">
      <alignment horizontal="center"/>
    </xf>
    <xf numFmtId="170" fontId="18" fillId="0" borderId="0" xfId="1183" applyNumberFormat="1"/>
    <xf numFmtId="0" fontId="139" fillId="51" borderId="81" xfId="1183" applyFont="1" applyFill="1" applyBorder="1" applyAlignment="1">
      <alignment vertical="center" wrapText="1"/>
    </xf>
    <xf numFmtId="0" fontId="139" fillId="51" borderId="88" xfId="1183" applyFont="1" applyFill="1" applyBorder="1" applyAlignment="1">
      <alignment vertical="center" wrapText="1"/>
    </xf>
    <xf numFmtId="3" fontId="18" fillId="46" borderId="0" xfId="1183" applyNumberFormat="1" applyFill="1"/>
    <xf numFmtId="170" fontId="139" fillId="46" borderId="84" xfId="1183" applyNumberFormat="1" applyFont="1" applyFill="1" applyBorder="1" applyAlignment="1">
      <alignment horizontal="right" vertical="center"/>
    </xf>
    <xf numFmtId="169" fontId="139" fillId="46" borderId="84" xfId="1183" applyNumberFormat="1" applyFont="1" applyFill="1" applyBorder="1" applyAlignment="1">
      <alignment horizontal="right" vertical="center"/>
    </xf>
    <xf numFmtId="169" fontId="139" fillId="46" borderId="86" xfId="1183" applyNumberFormat="1" applyFont="1" applyFill="1" applyBorder="1" applyAlignment="1">
      <alignment horizontal="right" vertical="center"/>
    </xf>
    <xf numFmtId="10" fontId="202" fillId="0" borderId="0" xfId="1183" applyNumberFormat="1" applyFont="1"/>
    <xf numFmtId="0" fontId="139" fillId="51" borderId="82" xfId="1183" applyFont="1" applyFill="1" applyBorder="1" applyAlignment="1">
      <alignment vertical="center" wrapText="1"/>
    </xf>
    <xf numFmtId="169" fontId="211" fillId="46" borderId="85" xfId="1183" applyNumberFormat="1" applyFont="1" applyFill="1" applyBorder="1" applyAlignment="1">
      <alignment horizontal="right" vertical="center"/>
    </xf>
    <xf numFmtId="169" fontId="139" fillId="46" borderId="85" xfId="1183" applyNumberFormat="1" applyFont="1" applyFill="1" applyBorder="1" applyAlignment="1">
      <alignment horizontal="right" vertical="center"/>
    </xf>
    <xf numFmtId="169" fontId="139" fillId="46" borderId="87" xfId="1183" applyNumberFormat="1" applyFont="1" applyFill="1" applyBorder="1" applyAlignment="1">
      <alignment horizontal="right" vertical="center"/>
    </xf>
    <xf numFmtId="169" fontId="139" fillId="0" borderId="84" xfId="1183" applyNumberFormat="1" applyFont="1" applyBorder="1" applyAlignment="1">
      <alignment horizontal="right" vertical="center"/>
    </xf>
    <xf numFmtId="0" fontId="139" fillId="51" borderId="0" xfId="1183" applyFont="1" applyFill="1" applyBorder="1" applyAlignment="1">
      <alignment vertical="center" wrapText="1"/>
    </xf>
    <xf numFmtId="0" fontId="139" fillId="0" borderId="0" xfId="1183" applyFont="1" applyBorder="1" applyAlignment="1">
      <alignment vertical="center" wrapText="1"/>
    </xf>
    <xf numFmtId="0" fontId="141" fillId="0" borderId="0" xfId="1183" applyFont="1" applyBorder="1" applyAlignment="1">
      <alignment horizontal="center"/>
    </xf>
    <xf numFmtId="169" fontId="18" fillId="0" borderId="0" xfId="1183" applyNumberFormat="1"/>
    <xf numFmtId="170" fontId="212" fillId="49" borderId="84" xfId="1183" applyNumberFormat="1" applyFont="1" applyFill="1" applyBorder="1" applyAlignment="1">
      <alignment horizontal="right" vertical="center"/>
    </xf>
    <xf numFmtId="169" fontId="212" fillId="49" borderId="85" xfId="1183" applyNumberFormat="1" applyFont="1" applyFill="1" applyBorder="1" applyAlignment="1">
      <alignment horizontal="right" vertical="center"/>
    </xf>
    <xf numFmtId="1" fontId="18" fillId="0" borderId="0" xfId="1183" applyNumberFormat="1"/>
    <xf numFmtId="196" fontId="18" fillId="0" borderId="0" xfId="1183" applyNumberFormat="1"/>
    <xf numFmtId="0" fontId="66" fillId="0" borderId="0" xfId="1183" applyFont="1"/>
    <xf numFmtId="0" fontId="18" fillId="0" borderId="0" xfId="1183" applyAlignment="1">
      <alignment horizontal="left"/>
    </xf>
    <xf numFmtId="194" fontId="211" fillId="44" borderId="84" xfId="1183" applyNumberFormat="1" applyFont="1" applyFill="1" applyBorder="1" applyAlignment="1">
      <alignment vertical="center"/>
    </xf>
    <xf numFmtId="171" fontId="211" fillId="44" borderId="85" xfId="1183" applyNumberFormat="1" applyFont="1" applyFill="1" applyBorder="1" applyAlignment="1">
      <alignment vertical="center"/>
    </xf>
    <xf numFmtId="194" fontId="142" fillId="51" borderId="66" xfId="1216" applyNumberFormat="1" applyFont="1" applyFill="1" applyBorder="1" applyAlignment="1">
      <alignment vertical="center" wrapText="1"/>
    </xf>
    <xf numFmtId="194" fontId="139" fillId="46" borderId="84" xfId="1183" applyNumberFormat="1" applyFont="1" applyFill="1" applyBorder="1" applyAlignment="1">
      <alignment vertical="center"/>
    </xf>
    <xf numFmtId="194" fontId="139" fillId="46" borderId="86" xfId="1183" applyNumberFormat="1" applyFont="1" applyFill="1" applyBorder="1" applyAlignment="1">
      <alignment vertical="center"/>
    </xf>
    <xf numFmtId="196" fontId="139" fillId="46" borderId="85" xfId="1183" applyNumberFormat="1" applyFont="1" applyFill="1" applyBorder="1" applyAlignment="1">
      <alignment vertical="center"/>
    </xf>
    <xf numFmtId="196" fontId="139" fillId="46" borderId="87" xfId="1183" applyNumberFormat="1" applyFont="1" applyFill="1" applyBorder="1" applyAlignment="1">
      <alignment vertical="center"/>
    </xf>
    <xf numFmtId="196" fontId="142" fillId="51" borderId="66" xfId="1216" applyNumberFormat="1" applyFont="1" applyFill="1" applyBorder="1" applyAlignment="1">
      <alignment vertical="center" wrapText="1"/>
    </xf>
    <xf numFmtId="4" fontId="142" fillId="51" borderId="84" xfId="1216" applyNumberFormat="1" applyFont="1" applyFill="1" applyBorder="1" applyAlignment="1">
      <alignment vertical="center" wrapText="1"/>
    </xf>
    <xf numFmtId="4" fontId="139" fillId="46" borderId="84" xfId="1183" applyNumberFormat="1" applyFont="1" applyFill="1" applyBorder="1" applyAlignment="1">
      <alignment vertical="center"/>
    </xf>
    <xf numFmtId="4" fontId="139" fillId="46" borderId="86" xfId="1183" applyNumberFormat="1" applyFont="1" applyFill="1" applyBorder="1" applyAlignment="1">
      <alignment vertical="center"/>
    </xf>
    <xf numFmtId="194" fontId="142" fillId="51" borderId="84" xfId="1216" applyNumberFormat="1" applyFont="1" applyFill="1" applyBorder="1" applyAlignment="1">
      <alignment vertical="center" wrapText="1"/>
    </xf>
    <xf numFmtId="194" fontId="142" fillId="51" borderId="86" xfId="1216" applyNumberFormat="1" applyFont="1" applyFill="1" applyBorder="1" applyAlignment="1">
      <alignment vertical="center" wrapText="1"/>
    </xf>
    <xf numFmtId="196" fontId="142" fillId="51" borderId="85" xfId="1216" applyNumberFormat="1" applyFont="1" applyFill="1" applyBorder="1" applyAlignment="1">
      <alignment vertical="center" wrapText="1"/>
    </xf>
    <xf numFmtId="196" fontId="142" fillId="51" borderId="87" xfId="1216" applyNumberFormat="1" applyFont="1" applyFill="1" applyBorder="1" applyAlignment="1">
      <alignment vertical="center" wrapText="1"/>
    </xf>
    <xf numFmtId="1" fontId="18" fillId="0" borderId="0" xfId="1183" applyNumberFormat="1" applyBorder="1"/>
    <xf numFmtId="0" fontId="213" fillId="0" borderId="0" xfId="1176" applyFont="1"/>
    <xf numFmtId="0" fontId="144" fillId="46" borderId="0" xfId="1176" applyFont="1" applyFill="1"/>
    <xf numFmtId="0" fontId="214" fillId="0" borderId="0" xfId="1176" applyFont="1" applyAlignment="1">
      <alignment horizontal="center"/>
    </xf>
    <xf numFmtId="0" fontId="145" fillId="0" borderId="0" xfId="1176" applyFont="1"/>
    <xf numFmtId="0" fontId="60" fillId="0" borderId="0" xfId="1176" applyFont="1" applyAlignment="1">
      <alignment horizontal="right" wrapText="1"/>
    </xf>
    <xf numFmtId="0" fontId="47" fillId="0" borderId="0" xfId="1176" applyAlignment="1"/>
    <xf numFmtId="0" fontId="46" fillId="0" borderId="0" xfId="1176" applyFont="1" applyFill="1" applyAlignment="1">
      <alignment horizontal="centerContinuous" wrapText="1"/>
    </xf>
    <xf numFmtId="0" fontId="146" fillId="0" borderId="0" xfId="1176" applyFont="1" applyAlignment="1">
      <alignment horizontal="centerContinuous"/>
    </xf>
    <xf numFmtId="0" fontId="47" fillId="46" borderId="0" xfId="1176" applyFill="1"/>
    <xf numFmtId="0" fontId="47" fillId="46" borderId="0" xfId="1176" applyFill="1" applyAlignment="1">
      <alignment horizontal="centerContinuous"/>
    </xf>
    <xf numFmtId="0" fontId="22" fillId="0" borderId="17" xfId="1176" applyFont="1" applyBorder="1" applyAlignment="1">
      <alignment horizontal="centerContinuous" vertical="center" wrapText="1"/>
    </xf>
    <xf numFmtId="0" fontId="60" fillId="0" borderId="17" xfId="1176" applyFont="1" applyBorder="1" applyAlignment="1">
      <alignment horizontal="centerContinuous" vertical="center" wrapText="1"/>
    </xf>
    <xf numFmtId="0" fontId="22" fillId="46" borderId="17" xfId="1176" applyFont="1" applyFill="1" applyBorder="1" applyAlignment="1">
      <alignment horizontal="centerContinuous" vertical="center" wrapText="1"/>
    </xf>
    <xf numFmtId="0" fontId="47" fillId="0" borderId="0" xfId="1176" applyAlignment="1">
      <alignment horizontal="centerContinuous" vertical="center" wrapText="1"/>
    </xf>
    <xf numFmtId="0" fontId="214" fillId="0" borderId="0" xfId="1176" applyFont="1" applyAlignment="1">
      <alignment horizontal="center" vertical="center" wrapText="1"/>
    </xf>
    <xf numFmtId="0" fontId="148" fillId="0" borderId="23" xfId="1176" applyFont="1" applyBorder="1" applyAlignment="1">
      <alignment horizontal="left" vertical="center"/>
    </xf>
    <xf numFmtId="0" fontId="22" fillId="0" borderId="23" xfId="1176" applyFont="1" applyBorder="1" applyAlignment="1">
      <alignment horizontal="centerContinuous" vertical="center" wrapText="1"/>
    </xf>
    <xf numFmtId="0" fontId="22" fillId="46" borderId="23" xfId="1176" applyFont="1" applyFill="1" applyBorder="1" applyAlignment="1">
      <alignment horizontal="centerContinuous" vertical="center" wrapText="1"/>
    </xf>
    <xf numFmtId="169" fontId="22" fillId="46" borderId="17" xfId="1176" applyNumberFormat="1" applyFont="1" applyFill="1" applyBorder="1" applyAlignment="1">
      <alignment horizontal="right" wrapText="1"/>
    </xf>
    <xf numFmtId="169" fontId="148" fillId="46" borderId="17" xfId="1176" applyNumberFormat="1" applyFont="1" applyFill="1" applyBorder="1" applyAlignment="1">
      <alignment horizontal="centerContinuous" wrapText="1"/>
    </xf>
    <xf numFmtId="172" fontId="145" fillId="46" borderId="17" xfId="1176" applyNumberFormat="1" applyFont="1" applyFill="1" applyBorder="1" applyAlignment="1">
      <alignment horizontal="centerContinuous"/>
    </xf>
    <xf numFmtId="169" fontId="22" fillId="46" borderId="17" xfId="1176" applyNumberFormat="1" applyFont="1" applyFill="1" applyBorder="1" applyAlignment="1">
      <alignment horizontal="left" wrapText="1"/>
    </xf>
    <xf numFmtId="172" fontId="60" fillId="46" borderId="17" xfId="1176" applyNumberFormat="1" applyFont="1" applyFill="1" applyBorder="1" applyAlignment="1">
      <alignment horizontal="center"/>
    </xf>
    <xf numFmtId="3" fontId="214" fillId="0" borderId="0" xfId="1176" applyNumberFormat="1" applyFont="1" applyAlignment="1">
      <alignment horizontal="center"/>
    </xf>
    <xf numFmtId="169" fontId="148" fillId="46" borderId="17" xfId="1176" applyNumberFormat="1" applyFont="1" applyFill="1" applyBorder="1" applyAlignment="1">
      <alignment horizontal="left" wrapText="1"/>
    </xf>
    <xf numFmtId="170" fontId="148" fillId="46" borderId="17" xfId="1176" applyNumberFormat="1" applyFont="1" applyFill="1" applyBorder="1" applyAlignment="1">
      <alignment horizontal="right" wrapText="1"/>
    </xf>
    <xf numFmtId="172" fontId="145" fillId="46" borderId="17" xfId="1176" applyNumberFormat="1" applyFont="1" applyFill="1" applyBorder="1" applyAlignment="1">
      <alignment horizontal="center"/>
    </xf>
    <xf numFmtId="169" fontId="47" fillId="0" borderId="0" xfId="1176" applyNumberFormat="1"/>
    <xf numFmtId="170" fontId="22" fillId="46" borderId="17" xfId="1176" applyNumberFormat="1" applyFont="1" applyFill="1" applyBorder="1" applyAlignment="1">
      <alignment horizontal="right" wrapText="1"/>
    </xf>
    <xf numFmtId="169" fontId="149" fillId="46" borderId="17" xfId="1176" applyNumberFormat="1" applyFont="1" applyFill="1" applyBorder="1" applyAlignment="1">
      <alignment horizontal="left" wrapText="1"/>
    </xf>
    <xf numFmtId="172" fontId="64" fillId="46" borderId="17" xfId="1176" applyNumberFormat="1" applyFont="1" applyFill="1" applyBorder="1" applyAlignment="1">
      <alignment horizontal="center"/>
    </xf>
    <xf numFmtId="170" fontId="148" fillId="46" borderId="17" xfId="1176" applyNumberFormat="1" applyFont="1" applyFill="1" applyBorder="1" applyAlignment="1">
      <alignment horizontal="centerContinuous" wrapText="1"/>
    </xf>
    <xf numFmtId="169" fontId="215" fillId="47" borderId="17" xfId="1176" applyNumberFormat="1" applyFont="1" applyFill="1" applyBorder="1" applyAlignment="1">
      <alignment horizontal="right" wrapText="1"/>
    </xf>
    <xf numFmtId="169" fontId="216" fillId="47" borderId="17" xfId="1176" applyNumberFormat="1" applyFont="1" applyFill="1" applyBorder="1" applyAlignment="1">
      <alignment wrapText="1"/>
    </xf>
    <xf numFmtId="169" fontId="216" fillId="47" borderId="17" xfId="1176" applyNumberFormat="1" applyFont="1" applyFill="1" applyBorder="1" applyAlignment="1">
      <alignment horizontal="right" wrapText="1"/>
    </xf>
    <xf numFmtId="172" fontId="217" fillId="47" borderId="17" xfId="1176" applyNumberFormat="1" applyFont="1" applyFill="1" applyBorder="1" applyAlignment="1">
      <alignment horizontal="center"/>
    </xf>
    <xf numFmtId="0" fontId="62" fillId="0" borderId="0" xfId="1176" applyFont="1"/>
    <xf numFmtId="0" fontId="148" fillId="0" borderId="17" xfId="1176" applyFont="1" applyBorder="1" applyAlignment="1">
      <alignment horizontal="left" vertical="center"/>
    </xf>
    <xf numFmtId="0" fontId="22" fillId="0" borderId="17" xfId="1176" applyFont="1" applyBorder="1" applyAlignment="1">
      <alignment horizontal="centerContinuous" wrapText="1"/>
    </xf>
    <xf numFmtId="170" fontId="22" fillId="0" borderId="17" xfId="1176" applyNumberFormat="1" applyFont="1" applyBorder="1" applyAlignment="1">
      <alignment horizontal="centerContinuous" wrapText="1"/>
    </xf>
    <xf numFmtId="0" fontId="22" fillId="46" borderId="17" xfId="1176" applyFont="1" applyFill="1" applyBorder="1" applyAlignment="1">
      <alignment horizontal="centerContinuous" wrapText="1"/>
    </xf>
    <xf numFmtId="0" fontId="22" fillId="0" borderId="17" xfId="1176" applyFont="1" applyBorder="1" applyAlignment="1">
      <alignment horizontal="center"/>
    </xf>
    <xf numFmtId="0" fontId="22" fillId="46" borderId="17" xfId="1176" applyFont="1" applyFill="1" applyBorder="1" applyAlignment="1">
      <alignment horizontal="left" wrapText="1"/>
    </xf>
    <xf numFmtId="169" fontId="215" fillId="44" borderId="17" xfId="1176" applyNumberFormat="1" applyFont="1" applyFill="1" applyBorder="1" applyAlignment="1">
      <alignment horizontal="right" wrapText="1"/>
    </xf>
    <xf numFmtId="169" fontId="215" fillId="49" borderId="17" xfId="1176" applyNumberFormat="1" applyFont="1" applyFill="1" applyBorder="1" applyAlignment="1">
      <alignment horizontal="right" wrapText="1"/>
    </xf>
    <xf numFmtId="172" fontId="60" fillId="48" borderId="17" xfId="1176" applyNumberFormat="1" applyFont="1" applyFill="1" applyBorder="1" applyAlignment="1">
      <alignment horizontal="center"/>
    </xf>
    <xf numFmtId="170" fontId="214" fillId="0" borderId="0" xfId="1176" applyNumberFormat="1" applyFont="1" applyAlignment="1">
      <alignment horizontal="center"/>
    </xf>
    <xf numFmtId="3" fontId="47" fillId="0" borderId="0" xfId="1176" applyNumberFormat="1"/>
    <xf numFmtId="0" fontId="150" fillId="0" borderId="17" xfId="1176" applyFont="1" applyBorder="1" applyAlignment="1">
      <alignment horizontal="left"/>
    </xf>
    <xf numFmtId="0" fontId="22" fillId="0" borderId="17" xfId="1176" applyFont="1" applyBorder="1" applyAlignment="1">
      <alignment horizontal="left"/>
    </xf>
    <xf numFmtId="0" fontId="148" fillId="0" borderId="17" xfId="1176" applyFont="1" applyBorder="1" applyAlignment="1">
      <alignment horizontal="left"/>
    </xf>
    <xf numFmtId="169" fontId="218" fillId="44" borderId="17" xfId="1176" applyNumberFormat="1" applyFont="1" applyFill="1" applyBorder="1" applyAlignment="1">
      <alignment horizontal="right" wrapText="1"/>
    </xf>
    <xf numFmtId="0" fontId="47" fillId="48" borderId="0" xfId="1176" applyFill="1"/>
    <xf numFmtId="170" fontId="219" fillId="49" borderId="17" xfId="1176" applyNumberFormat="1" applyFont="1" applyFill="1" applyBorder="1" applyAlignment="1">
      <alignment horizontal="right" wrapText="1"/>
    </xf>
    <xf numFmtId="169" fontId="219" fillId="49" borderId="17" xfId="1176" applyNumberFormat="1" applyFont="1" applyFill="1" applyBorder="1" applyAlignment="1">
      <alignment horizontal="right" wrapText="1"/>
    </xf>
    <xf numFmtId="3" fontId="47" fillId="48" borderId="0" xfId="1176" applyNumberFormat="1" applyFont="1" applyFill="1" applyAlignment="1">
      <alignment horizontal="center"/>
    </xf>
    <xf numFmtId="0" fontId="22" fillId="48" borderId="17" xfId="1176" applyFont="1" applyFill="1" applyBorder="1" applyAlignment="1">
      <alignment horizontal="left" wrapText="1"/>
    </xf>
    <xf numFmtId="4" fontId="219" fillId="49" borderId="17" xfId="1176" applyNumberFormat="1" applyFont="1" applyFill="1" applyBorder="1" applyAlignment="1">
      <alignment horizontal="right" wrapText="1"/>
    </xf>
    <xf numFmtId="2" fontId="47" fillId="0" borderId="0" xfId="1176" applyNumberFormat="1"/>
    <xf numFmtId="169" fontId="220" fillId="49" borderId="17" xfId="1176" applyNumberFormat="1" applyFont="1" applyFill="1" applyBorder="1" applyAlignment="1">
      <alignment horizontal="right" wrapText="1"/>
    </xf>
    <xf numFmtId="0" fontId="149" fillId="28" borderId="17" xfId="1176" applyFont="1" applyFill="1" applyBorder="1" applyAlignment="1">
      <alignment horizontal="center"/>
    </xf>
    <xf numFmtId="0" fontId="149" fillId="28" borderId="17" xfId="1176" applyFont="1" applyFill="1" applyBorder="1" applyAlignment="1">
      <alignment horizontal="left" wrapText="1"/>
    </xf>
    <xf numFmtId="169" fontId="149" fillId="28" borderId="17" xfId="1176" applyNumberFormat="1" applyFont="1" applyFill="1" applyBorder="1" applyAlignment="1">
      <alignment horizontal="right"/>
    </xf>
    <xf numFmtId="172" fontId="149" fillId="28" borderId="17" xfId="1176" applyNumberFormat="1" applyFont="1" applyFill="1" applyBorder="1" applyAlignment="1">
      <alignment horizontal="right"/>
    </xf>
    <xf numFmtId="0" fontId="149" fillId="0" borderId="0" xfId="1176" applyFont="1" applyBorder="1" applyAlignment="1">
      <alignment horizontal="center"/>
    </xf>
    <xf numFmtId="0" fontId="149" fillId="0" borderId="0" xfId="1176" applyFont="1" applyBorder="1"/>
    <xf numFmtId="170" fontId="149" fillId="0" borderId="0" xfId="1176" applyNumberFormat="1" applyFont="1" applyBorder="1"/>
    <xf numFmtId="0" fontId="197" fillId="0" borderId="0" xfId="1176" applyFont="1" applyAlignment="1">
      <alignment horizontal="center"/>
    </xf>
    <xf numFmtId="0" fontId="22" fillId="0" borderId="0" xfId="1176" applyFont="1" applyBorder="1" applyAlignment="1">
      <alignment horizontal="left"/>
    </xf>
    <xf numFmtId="0" fontId="22" fillId="0" borderId="0" xfId="1176" applyFont="1" applyBorder="1"/>
    <xf numFmtId="170" fontId="22" fillId="0" borderId="0" xfId="1176" applyNumberFormat="1" applyFont="1" applyBorder="1"/>
    <xf numFmtId="0" fontId="47" fillId="46" borderId="0" xfId="1176" applyFont="1" applyFill="1"/>
    <xf numFmtId="0" fontId="22" fillId="0" borderId="0" xfId="1176" applyFont="1" applyFill="1" applyBorder="1"/>
    <xf numFmtId="0" fontId="22" fillId="0" borderId="0" xfId="1176" applyFont="1" applyAlignment="1">
      <alignment horizontal="center"/>
    </xf>
    <xf numFmtId="0" fontId="22" fillId="46" borderId="0" xfId="1176" applyFont="1" applyFill="1"/>
    <xf numFmtId="0" fontId="215" fillId="0" borderId="0" xfId="1176" applyFont="1" applyAlignment="1">
      <alignment horizontal="center"/>
    </xf>
    <xf numFmtId="169" fontId="215" fillId="48" borderId="17" xfId="1176" applyNumberFormat="1" applyFont="1" applyFill="1" applyBorder="1" applyAlignment="1">
      <alignment horizontal="right" wrapText="1"/>
    </xf>
    <xf numFmtId="171" fontId="47" fillId="0" borderId="0" xfId="1176" applyNumberFormat="1"/>
    <xf numFmtId="4" fontId="148" fillId="46" borderId="17" xfId="1176" applyNumberFormat="1" applyFont="1" applyFill="1" applyBorder="1" applyAlignment="1">
      <alignment horizontal="right" wrapText="1"/>
    </xf>
    <xf numFmtId="4" fontId="22" fillId="46" borderId="17" xfId="1176" applyNumberFormat="1" applyFont="1" applyFill="1" applyBorder="1" applyAlignment="1">
      <alignment horizontal="right" wrapText="1"/>
    </xf>
    <xf numFmtId="171" fontId="215" fillId="48" borderId="17" xfId="1176" applyNumberFormat="1" applyFont="1" applyFill="1" applyBorder="1" applyAlignment="1">
      <alignment horizontal="right" wrapText="1"/>
    </xf>
    <xf numFmtId="171" fontId="22" fillId="46" borderId="17" xfId="1176" applyNumberFormat="1" applyFont="1" applyFill="1" applyBorder="1" applyAlignment="1">
      <alignment horizontal="right" wrapText="1"/>
    </xf>
    <xf numFmtId="171" fontId="148" fillId="46" borderId="17" xfId="1176" applyNumberFormat="1" applyFont="1" applyFill="1" applyBorder="1" applyAlignment="1">
      <alignment horizontal="right" wrapText="1"/>
    </xf>
    <xf numFmtId="171" fontId="149" fillId="46" borderId="17" xfId="1176" applyNumberFormat="1" applyFont="1" applyFill="1" applyBorder="1" applyAlignment="1">
      <alignment horizontal="right" wrapText="1"/>
    </xf>
    <xf numFmtId="4" fontId="149" fillId="46" borderId="17" xfId="1176" applyNumberFormat="1" applyFont="1" applyFill="1" applyBorder="1" applyAlignment="1">
      <alignment horizontal="right" wrapText="1"/>
    </xf>
    <xf numFmtId="171" fontId="216" fillId="47" borderId="17" xfId="1176" applyNumberFormat="1" applyFont="1" applyFill="1" applyBorder="1" applyAlignment="1">
      <alignment horizontal="right" wrapText="1"/>
    </xf>
    <xf numFmtId="171" fontId="142" fillId="51" borderId="66" xfId="1216" applyNumberFormat="1" applyFont="1" applyFill="1" applyBorder="1" applyAlignment="1">
      <alignment vertical="center" wrapText="1"/>
    </xf>
    <xf numFmtId="171" fontId="139" fillId="46" borderId="85" xfId="1183" applyNumberFormat="1" applyFont="1" applyFill="1" applyBorder="1" applyAlignment="1">
      <alignment vertical="center"/>
    </xf>
    <xf numFmtId="171" fontId="139" fillId="46" borderId="87" xfId="1183" applyNumberFormat="1" applyFont="1" applyFill="1" applyBorder="1" applyAlignment="1">
      <alignment vertical="center"/>
    </xf>
    <xf numFmtId="194" fontId="139" fillId="44" borderId="84" xfId="1183" applyNumberFormat="1" applyFont="1" applyFill="1" applyBorder="1" applyAlignment="1">
      <alignment vertical="center"/>
    </xf>
    <xf numFmtId="171" fontId="139" fillId="44" borderId="85" xfId="1183" applyNumberFormat="1" applyFont="1" applyFill="1" applyBorder="1" applyAlignment="1">
      <alignment vertical="center"/>
    </xf>
    <xf numFmtId="171" fontId="50" fillId="0" borderId="17" xfId="0" applyNumberFormat="1" applyFont="1" applyBorder="1"/>
    <xf numFmtId="4" fontId="50" fillId="0" borderId="17" xfId="0" applyNumberFormat="1" applyFont="1" applyBorder="1"/>
    <xf numFmtId="4" fontId="50" fillId="46" borderId="17" xfId="0" applyNumberFormat="1" applyFont="1" applyFill="1" applyBorder="1"/>
    <xf numFmtId="171" fontId="50" fillId="46" borderId="17" xfId="0" applyNumberFormat="1" applyFont="1" applyFill="1" applyBorder="1"/>
    <xf numFmtId="4" fontId="51" fillId="46" borderId="17" xfId="0" applyNumberFormat="1" applyFont="1" applyFill="1" applyBorder="1"/>
    <xf numFmtId="4" fontId="51" fillId="46" borderId="17" xfId="1215" applyNumberFormat="1" applyFont="1" applyFill="1" applyBorder="1" applyAlignment="1">
      <alignment horizontal="right" wrapText="1"/>
    </xf>
    <xf numFmtId="171" fontId="51" fillId="46" borderId="17" xfId="0" applyNumberFormat="1" applyFont="1" applyFill="1" applyBorder="1"/>
    <xf numFmtId="171" fontId="51" fillId="46" borderId="17" xfId="1215" applyNumberFormat="1" applyFont="1" applyFill="1" applyBorder="1" applyAlignment="1">
      <alignment horizontal="right" wrapText="1"/>
    </xf>
    <xf numFmtId="194" fontId="51" fillId="46" borderId="17" xfId="1215" applyNumberFormat="1" applyFont="1" applyFill="1" applyBorder="1" applyAlignment="1">
      <alignment horizontal="right" wrapText="1"/>
    </xf>
    <xf numFmtId="4" fontId="139" fillId="46" borderId="89" xfId="1183" applyNumberFormat="1" applyFont="1" applyFill="1" applyBorder="1" applyAlignment="1">
      <alignment horizontal="right" vertical="center" wrapText="1"/>
    </xf>
    <xf numFmtId="171" fontId="139" fillId="46" borderId="85" xfId="1183" applyNumberFormat="1" applyFont="1" applyFill="1" applyBorder="1" applyAlignment="1">
      <alignment horizontal="right" vertical="center" wrapText="1"/>
    </xf>
    <xf numFmtId="171" fontId="202" fillId="44" borderId="0" xfId="1183" applyNumberFormat="1" applyFont="1" applyFill="1"/>
    <xf numFmtId="49" fontId="182" fillId="44" borderId="66" xfId="1181" applyNumberFormat="1" applyFont="1" applyFill="1" applyBorder="1" applyAlignment="1">
      <alignment horizontal="center"/>
    </xf>
    <xf numFmtId="0" fontId="182" fillId="44" borderId="68" xfId="1181" applyFont="1" applyFill="1" applyBorder="1" applyAlignment="1">
      <alignment horizontal="left" wrapText="1"/>
    </xf>
    <xf numFmtId="169" fontId="182" fillId="44" borderId="66" xfId="1181" applyNumberFormat="1" applyFont="1" applyFill="1" applyBorder="1" applyAlignment="1">
      <alignment horizontal="center"/>
    </xf>
    <xf numFmtId="1" fontId="202" fillId="46" borderId="0" xfId="1181" applyNumberFormat="1" applyFont="1" applyFill="1"/>
    <xf numFmtId="169" fontId="181" fillId="49" borderId="66" xfId="1181" applyNumberFormat="1" applyFont="1" applyFill="1" applyBorder="1" applyAlignment="1">
      <alignment horizontal="center"/>
    </xf>
    <xf numFmtId="4" fontId="16" fillId="46" borderId="0" xfId="0" applyNumberFormat="1" applyFont="1" applyFill="1"/>
    <xf numFmtId="171" fontId="16" fillId="46" borderId="0" xfId="0" applyNumberFormat="1" applyFont="1" applyFill="1"/>
    <xf numFmtId="167" fontId="202" fillId="0" borderId="0" xfId="1181" applyNumberFormat="1" applyFont="1"/>
    <xf numFmtId="171" fontId="202" fillId="0" borderId="0" xfId="1181" applyNumberFormat="1" applyFont="1"/>
    <xf numFmtId="3" fontId="54" fillId="46" borderId="0" xfId="1181" applyNumberFormat="1" applyFont="1" applyFill="1"/>
    <xf numFmtId="202" fontId="202" fillId="46" borderId="0" xfId="1181" applyNumberFormat="1" applyFont="1" applyFill="1"/>
    <xf numFmtId="202" fontId="9" fillId="0" borderId="0" xfId="1181" applyNumberFormat="1" applyFont="1"/>
    <xf numFmtId="202" fontId="9" fillId="0" borderId="66" xfId="1181" applyNumberFormat="1" applyFont="1" applyBorder="1" applyAlignment="1">
      <alignment horizontal="center" vertical="top" wrapText="1"/>
    </xf>
    <xf numFmtId="202" fontId="9" fillId="0" borderId="66" xfId="1181" applyNumberFormat="1" applyFont="1" applyBorder="1" applyAlignment="1">
      <alignment horizontal="center"/>
    </xf>
    <xf numFmtId="202" fontId="182" fillId="44" borderId="66" xfId="1181" applyNumberFormat="1" applyFont="1" applyFill="1" applyBorder="1" applyAlignment="1">
      <alignment horizontal="center"/>
    </xf>
    <xf numFmtId="202" fontId="182" fillId="48" borderId="66" xfId="1181" applyNumberFormat="1" applyFont="1" applyFill="1" applyBorder="1" applyAlignment="1">
      <alignment horizontal="center"/>
    </xf>
    <xf numFmtId="202" fontId="9" fillId="48" borderId="66" xfId="1181" applyNumberFormat="1" applyFont="1" applyFill="1" applyBorder="1" applyAlignment="1">
      <alignment horizontal="center"/>
    </xf>
    <xf numFmtId="202" fontId="9" fillId="0" borderId="78" xfId="1181" applyNumberFormat="1" applyFont="1" applyBorder="1" applyAlignment="1">
      <alignment horizontal="center"/>
    </xf>
    <xf numFmtId="202" fontId="182" fillId="0" borderId="66" xfId="1181" applyNumberFormat="1" applyFont="1" applyBorder="1" applyAlignment="1">
      <alignment horizontal="center"/>
    </xf>
    <xf numFmtId="202" fontId="9" fillId="0" borderId="67" xfId="1181" applyNumberFormat="1" applyFont="1" applyBorder="1" applyAlignment="1">
      <alignment horizontal="center"/>
    </xf>
    <xf numFmtId="202" fontId="181" fillId="49" borderId="66" xfId="1181" applyNumberFormat="1" applyFont="1" applyFill="1" applyBorder="1" applyAlignment="1">
      <alignment horizontal="center"/>
    </xf>
    <xf numFmtId="202" fontId="23" fillId="0" borderId="0" xfId="1181" applyNumberFormat="1" applyFont="1"/>
    <xf numFmtId="3" fontId="9" fillId="0" borderId="66" xfId="1181" applyNumberFormat="1" applyFont="1" applyBorder="1" applyAlignment="1">
      <alignment horizontal="center"/>
    </xf>
    <xf numFmtId="0" fontId="80" fillId="0" borderId="33" xfId="0" applyFont="1" applyBorder="1" applyAlignment="1">
      <alignment horizontal="centerContinuous" vertical="top"/>
    </xf>
    <xf numFmtId="0" fontId="11" fillId="46" borderId="6" xfId="0" applyFont="1" applyFill="1" applyBorder="1" applyAlignment="1">
      <alignment horizontal="centerContinuous" vertical="top" wrapText="1"/>
    </xf>
    <xf numFmtId="0" fontId="11" fillId="46" borderId="26" xfId="0" applyFont="1" applyFill="1" applyBorder="1" applyAlignment="1">
      <alignment horizontal="centerContinuous" vertical="top" wrapText="1"/>
    </xf>
    <xf numFmtId="0" fontId="80" fillId="48" borderId="28" xfId="0" applyFont="1" applyFill="1" applyBorder="1" applyAlignment="1">
      <alignment horizontal="left" vertical="top"/>
    </xf>
    <xf numFmtId="0" fontId="11" fillId="48" borderId="29" xfId="0" applyFont="1" applyFill="1" applyBorder="1" applyAlignment="1">
      <alignment horizontal="centerContinuous" vertical="top" wrapText="1"/>
    </xf>
    <xf numFmtId="0" fontId="11" fillId="48" borderId="27" xfId="0" applyFont="1" applyFill="1" applyBorder="1" applyAlignment="1">
      <alignment horizontal="centerContinuous" vertical="top" wrapText="1"/>
    </xf>
    <xf numFmtId="49" fontId="9" fillId="48" borderId="17" xfId="1208" applyNumberFormat="1" applyFont="1" applyFill="1" applyBorder="1" applyAlignment="1">
      <alignment horizontal="center" wrapText="1"/>
    </xf>
    <xf numFmtId="0" fontId="9" fillId="48" borderId="17" xfId="1208" applyFont="1" applyFill="1" applyBorder="1" applyAlignment="1">
      <alignment horizontal="center" wrapText="1"/>
    </xf>
    <xf numFmtId="4" fontId="51" fillId="48" borderId="17" xfId="1208" applyNumberFormat="1" applyFont="1" applyFill="1" applyBorder="1" applyAlignment="1">
      <alignment wrapText="1"/>
    </xf>
    <xf numFmtId="164" fontId="49" fillId="46" borderId="0" xfId="0" applyNumberFormat="1" applyFont="1" applyFill="1"/>
    <xf numFmtId="0" fontId="80" fillId="46" borderId="0" xfId="1208" applyFont="1" applyFill="1" applyBorder="1" applyAlignment="1">
      <alignment horizontal="left"/>
    </xf>
    <xf numFmtId="202" fontId="16" fillId="0" borderId="0" xfId="0" applyNumberFormat="1" applyFont="1"/>
    <xf numFmtId="0" fontId="49" fillId="0" borderId="0" xfId="0" applyFont="1" applyAlignment="1">
      <alignment horizontal="right"/>
    </xf>
    <xf numFmtId="0" fontId="11" fillId="48" borderId="0" xfId="0" applyFont="1" applyFill="1" applyAlignment="1">
      <alignment horizontal="right"/>
    </xf>
    <xf numFmtId="164" fontId="11" fillId="0" borderId="0" xfId="0" applyNumberFormat="1" applyFont="1" applyFill="1"/>
    <xf numFmtId="0" fontId="201" fillId="49" borderId="0" xfId="0" applyFont="1" applyFill="1"/>
    <xf numFmtId="0" fontId="201" fillId="49" borderId="0" xfId="0" applyFont="1" applyFill="1" applyAlignment="1">
      <alignment horizontal="right"/>
    </xf>
    <xf numFmtId="164" fontId="221" fillId="49" borderId="0" xfId="0" applyNumberFormat="1" applyFont="1" applyFill="1"/>
    <xf numFmtId="0" fontId="221" fillId="49" borderId="0" xfId="0" applyFont="1" applyFill="1"/>
    <xf numFmtId="0" fontId="182" fillId="48" borderId="0" xfId="0" applyFont="1" applyFill="1" applyBorder="1"/>
    <xf numFmtId="2" fontId="182" fillId="48" borderId="0" xfId="0" applyNumberFormat="1" applyFont="1" applyFill="1"/>
    <xf numFmtId="2" fontId="14" fillId="48" borderId="0" xfId="0" applyNumberFormat="1" applyFont="1" applyFill="1" applyBorder="1"/>
    <xf numFmtId="0" fontId="51" fillId="48" borderId="0" xfId="0" applyFont="1" applyFill="1" applyAlignment="1">
      <alignment horizontal="center"/>
    </xf>
    <xf numFmtId="0" fontId="51" fillId="48" borderId="0" xfId="0" applyFont="1" applyFill="1" applyBorder="1" applyAlignment="1">
      <alignment horizontal="right"/>
    </xf>
    <xf numFmtId="169" fontId="51" fillId="48" borderId="0" xfId="0" applyNumberFormat="1" applyFont="1" applyFill="1"/>
    <xf numFmtId="4" fontId="13" fillId="48" borderId="0" xfId="0" applyNumberFormat="1" applyFont="1" applyFill="1" applyAlignment="1">
      <alignment horizontal="right"/>
    </xf>
    <xf numFmtId="170" fontId="13" fillId="48" borderId="0" xfId="0" applyNumberFormat="1" applyFont="1" applyFill="1" applyAlignment="1">
      <alignment horizontal="right"/>
    </xf>
    <xf numFmtId="0" fontId="0" fillId="0" borderId="0" xfId="1207" applyFont="1"/>
    <xf numFmtId="4" fontId="181" fillId="49" borderId="0" xfId="1207" applyNumberFormat="1" applyFont="1" applyFill="1"/>
    <xf numFmtId="164" fontId="11" fillId="0" borderId="20" xfId="0" applyNumberFormat="1" applyFont="1" applyFill="1" applyBorder="1"/>
    <xf numFmtId="170" fontId="11" fillId="46" borderId="0" xfId="0" applyNumberFormat="1" applyFont="1" applyFill="1"/>
    <xf numFmtId="164" fontId="13" fillId="46" borderId="0" xfId="1207" applyNumberFormat="1" applyFont="1" applyFill="1"/>
    <xf numFmtId="0" fontId="11" fillId="46" borderId="23" xfId="1208" applyFont="1" applyFill="1" applyBorder="1" applyAlignment="1">
      <alignment horizontal="center" vertical="center" wrapText="1"/>
    </xf>
    <xf numFmtId="0" fontId="80" fillId="46" borderId="0" xfId="1208" applyFont="1" applyFill="1" applyBorder="1" applyAlignment="1"/>
    <xf numFmtId="0" fontId="13" fillId="46" borderId="0" xfId="1208" applyFont="1" applyFill="1" applyBorder="1" applyAlignment="1">
      <alignment horizontal="centerContinuous" wrapText="1"/>
    </xf>
    <xf numFmtId="0" fontId="66" fillId="0" borderId="0" xfId="1183" applyFont="1" applyBorder="1" applyAlignment="1">
      <alignment horizontal="center"/>
    </xf>
    <xf numFmtId="0" fontId="81" fillId="49" borderId="0" xfId="0" applyFont="1" applyFill="1" applyAlignment="1">
      <alignment horizontal="right"/>
    </xf>
    <xf numFmtId="0" fontId="9" fillId="0" borderId="0" xfId="1181" applyFont="1" applyAlignment="1">
      <alignment wrapText="1"/>
    </xf>
    <xf numFmtId="0" fontId="66" fillId="0" borderId="0" xfId="1183" applyFont="1" applyBorder="1" applyAlignment="1">
      <alignment horizontal="left"/>
    </xf>
    <xf numFmtId="169" fontId="11" fillId="46" borderId="0" xfId="0" applyNumberFormat="1" applyFont="1" applyFill="1"/>
    <xf numFmtId="2" fontId="75" fillId="46" borderId="0" xfId="0" applyNumberFormat="1" applyFont="1" applyFill="1" applyAlignment="1">
      <alignment horizontal="center" wrapText="1"/>
    </xf>
    <xf numFmtId="3" fontId="76" fillId="46" borderId="0" xfId="0" applyNumberFormat="1" applyFont="1" applyFill="1" applyAlignment="1">
      <alignment horizontal="center" wrapText="1"/>
    </xf>
    <xf numFmtId="0" fontId="198" fillId="46" borderId="0" xfId="0" applyFont="1" applyFill="1"/>
    <xf numFmtId="170" fontId="49" fillId="46" borderId="0" xfId="0" applyNumberFormat="1" applyFont="1" applyFill="1" applyAlignment="1">
      <alignment horizontal="right"/>
    </xf>
    <xf numFmtId="170" fontId="14" fillId="46" borderId="0" xfId="0" applyNumberFormat="1" applyFont="1" applyFill="1"/>
    <xf numFmtId="4" fontId="14" fillId="0" borderId="0" xfId="0" applyNumberFormat="1" applyFont="1" applyAlignment="1">
      <alignment horizontal="right"/>
    </xf>
    <xf numFmtId="4" fontId="14" fillId="0" borderId="0" xfId="0" applyNumberFormat="1" applyFont="1"/>
    <xf numFmtId="0" fontId="9" fillId="46" borderId="0" xfId="0" applyFont="1" applyFill="1" applyBorder="1" applyAlignment="1">
      <alignment horizontal="center"/>
    </xf>
    <xf numFmtId="164" fontId="11" fillId="46" borderId="17" xfId="1207" applyNumberFormat="1" applyFont="1" applyFill="1" applyBorder="1" applyAlignment="1">
      <alignment horizontal="right" wrapText="1"/>
    </xf>
    <xf numFmtId="0" fontId="0" fillId="52" borderId="0" xfId="0" applyFill="1"/>
    <xf numFmtId="169" fontId="0" fillId="52" borderId="0" xfId="0" applyNumberFormat="1" applyFill="1"/>
    <xf numFmtId="0" fontId="0" fillId="52" borderId="0" xfId="0" applyFill="1" applyAlignment="1">
      <alignment horizontal="right"/>
    </xf>
    <xf numFmtId="4" fontId="0" fillId="52" borderId="0" xfId="0" applyNumberFormat="1" applyFill="1"/>
    <xf numFmtId="0" fontId="190" fillId="52" borderId="0" xfId="0" applyFont="1" applyFill="1" applyAlignment="1">
      <alignment horizontal="right"/>
    </xf>
    <xf numFmtId="0" fontId="190" fillId="52" borderId="0" xfId="0" applyFont="1" applyFill="1" applyAlignment="1">
      <alignment horizontal="left"/>
    </xf>
    <xf numFmtId="0" fontId="190" fillId="52" borderId="0" xfId="0" applyFont="1" applyFill="1"/>
    <xf numFmtId="167" fontId="175" fillId="52" borderId="0" xfId="0" applyNumberFormat="1" applyFont="1" applyFill="1" applyBorder="1"/>
    <xf numFmtId="4" fontId="23" fillId="0" borderId="0" xfId="1207" applyNumberFormat="1"/>
    <xf numFmtId="0" fontId="222" fillId="46" borderId="0" xfId="1207" applyFont="1" applyFill="1"/>
    <xf numFmtId="0" fontId="11" fillId="0" borderId="0" xfId="0" applyFont="1" applyAlignment="1">
      <alignment horizontal="left"/>
    </xf>
    <xf numFmtId="170" fontId="13" fillId="46" borderId="0" xfId="1207" applyNumberFormat="1" applyFont="1" applyFill="1"/>
    <xf numFmtId="170" fontId="222" fillId="52" borderId="0" xfId="1207" applyNumberFormat="1" applyFont="1" applyFill="1"/>
    <xf numFmtId="0" fontId="67" fillId="46" borderId="0" xfId="1217" applyFont="1" applyFill="1" applyBorder="1" applyAlignment="1">
      <alignment horizontal="centerContinuous" wrapText="1"/>
    </xf>
    <xf numFmtId="0" fontId="58" fillId="46" borderId="0" xfId="1207" applyFont="1" applyFill="1" applyAlignment="1">
      <alignment horizontal="centerContinuous" wrapText="1"/>
    </xf>
    <xf numFmtId="0" fontId="11" fillId="46" borderId="0" xfId="1217" applyFont="1" applyFill="1" applyBorder="1" applyAlignment="1">
      <alignment horizontal="centerContinuous" wrapText="1"/>
    </xf>
    <xf numFmtId="0" fontId="11" fillId="46" borderId="17" xfId="1207" applyFont="1" applyFill="1" applyBorder="1" applyAlignment="1">
      <alignment horizontal="centerContinuous" vertical="center" wrapText="1"/>
    </xf>
    <xf numFmtId="2" fontId="14" fillId="46" borderId="0" xfId="0" applyNumberFormat="1" applyFont="1" applyFill="1" applyBorder="1"/>
    <xf numFmtId="0" fontId="51" fillId="46" borderId="0" xfId="0" applyFont="1" applyFill="1" applyBorder="1" applyAlignment="1">
      <alignment horizontal="right"/>
    </xf>
    <xf numFmtId="169" fontId="51" fillId="46" borderId="0" xfId="0" applyNumberFormat="1" applyFont="1" applyFill="1"/>
    <xf numFmtId="170" fontId="13" fillId="46" borderId="0" xfId="0" applyNumberFormat="1" applyFont="1" applyFill="1" applyAlignment="1">
      <alignment horizontal="right"/>
    </xf>
    <xf numFmtId="0" fontId="23" fillId="46" borderId="0" xfId="1207" applyFont="1" applyFill="1"/>
    <xf numFmtId="0" fontId="23" fillId="0" borderId="0" xfId="1207" applyFont="1" applyAlignment="1">
      <alignment horizontal="centerContinuous"/>
    </xf>
    <xf numFmtId="0" fontId="23" fillId="0" borderId="0" xfId="1207" applyFont="1"/>
    <xf numFmtId="0" fontId="9" fillId="46" borderId="0" xfId="1207" applyFont="1" applyFill="1" applyAlignment="1">
      <alignment horizontal="centerContinuous" wrapText="1"/>
    </xf>
    <xf numFmtId="0" fontId="86" fillId="46" borderId="0" xfId="1207" applyFont="1" applyFill="1"/>
    <xf numFmtId="0" fontId="59" fillId="46" borderId="0" xfId="1207" applyFont="1" applyFill="1"/>
    <xf numFmtId="170" fontId="59" fillId="46" borderId="0" xfId="1207" applyNumberFormat="1" applyFont="1" applyFill="1"/>
    <xf numFmtId="0" fontId="86" fillId="0" borderId="0" xfId="1207" applyFont="1"/>
    <xf numFmtId="0" fontId="59" fillId="0" borderId="0" xfId="1207" applyFont="1"/>
    <xf numFmtId="0" fontId="11" fillId="0" borderId="20" xfId="0" applyFont="1" applyBorder="1"/>
    <xf numFmtId="0" fontId="11" fillId="46" borderId="29" xfId="0" applyFont="1" applyFill="1" applyBorder="1"/>
    <xf numFmtId="0" fontId="11" fillId="46" borderId="27" xfId="0" applyFont="1" applyFill="1" applyBorder="1"/>
    <xf numFmtId="0" fontId="51" fillId="46" borderId="23" xfId="0" applyFont="1" applyFill="1" applyBorder="1" applyAlignment="1">
      <alignment horizontal="center"/>
    </xf>
    <xf numFmtId="0" fontId="51" fillId="46" borderId="28" xfId="0" applyFont="1" applyFill="1" applyBorder="1" applyAlignment="1">
      <alignment horizontal="centerContinuous"/>
    </xf>
    <xf numFmtId="2" fontId="13" fillId="46" borderId="27" xfId="0" applyNumberFormat="1" applyFont="1" applyFill="1" applyBorder="1" applyAlignment="1">
      <alignment horizontal="centerContinuous"/>
    </xf>
    <xf numFmtId="2" fontId="51" fillId="46" borderId="17" xfId="0" applyNumberFormat="1" applyFont="1" applyFill="1" applyBorder="1" applyAlignment="1">
      <alignment horizontal="centerContinuous"/>
    </xf>
    <xf numFmtId="2" fontId="14" fillId="46" borderId="26" xfId="0" applyNumberFormat="1" applyFont="1" applyFill="1" applyBorder="1" applyAlignment="1">
      <alignment horizontal="centerContinuous"/>
    </xf>
    <xf numFmtId="0" fontId="11" fillId="46" borderId="19" xfId="0" applyFont="1" applyFill="1" applyBorder="1"/>
    <xf numFmtId="0" fontId="51" fillId="46" borderId="22" xfId="0" applyFont="1" applyFill="1" applyBorder="1" applyAlignment="1">
      <alignment horizontal="center"/>
    </xf>
    <xf numFmtId="0" fontId="51" fillId="46" borderId="30" xfId="0" applyFont="1" applyFill="1" applyBorder="1" applyAlignment="1">
      <alignment horizontal="centerContinuous"/>
    </xf>
    <xf numFmtId="2" fontId="13" fillId="46" borderId="25" xfId="0" applyNumberFormat="1" applyFont="1" applyFill="1" applyBorder="1" applyAlignment="1">
      <alignment horizontal="centerContinuous"/>
    </xf>
    <xf numFmtId="0" fontId="11" fillId="46" borderId="22" xfId="0" applyFont="1" applyFill="1" applyBorder="1" applyAlignment="1">
      <alignment horizontal="center"/>
    </xf>
    <xf numFmtId="0" fontId="51" fillId="46" borderId="25" xfId="0" applyFont="1" applyFill="1" applyBorder="1" applyAlignment="1">
      <alignment horizontal="center"/>
    </xf>
    <xf numFmtId="169" fontId="51" fillId="46" borderId="20" xfId="0" applyNumberFormat="1" applyFont="1" applyFill="1" applyBorder="1"/>
    <xf numFmtId="4" fontId="13" fillId="46" borderId="48" xfId="0" applyNumberFormat="1" applyFont="1" applyFill="1" applyBorder="1" applyAlignment="1">
      <alignment horizontal="right"/>
    </xf>
    <xf numFmtId="0" fontId="11" fillId="46" borderId="19" xfId="0" applyFont="1" applyFill="1" applyBorder="1" applyAlignment="1">
      <alignment horizontal="left"/>
    </xf>
    <xf numFmtId="0" fontId="11" fillId="46" borderId="20" xfId="0" applyFont="1" applyFill="1" applyBorder="1" applyAlignment="1">
      <alignment horizontal="center"/>
    </xf>
    <xf numFmtId="0" fontId="11" fillId="46" borderId="19" xfId="0" applyFont="1" applyFill="1" applyBorder="1" applyAlignment="1">
      <alignment horizontal="center"/>
    </xf>
    <xf numFmtId="0" fontId="11" fillId="46" borderId="48" xfId="0" applyFont="1" applyFill="1" applyBorder="1"/>
    <xf numFmtId="0" fontId="11" fillId="46" borderId="25" xfId="0" applyFont="1" applyFill="1" applyBorder="1"/>
    <xf numFmtId="169" fontId="51" fillId="46" borderId="22" xfId="0" applyNumberFormat="1" applyFont="1" applyFill="1" applyBorder="1"/>
    <xf numFmtId="170" fontId="13" fillId="46" borderId="30" xfId="0" applyNumberFormat="1" applyFont="1" applyFill="1" applyBorder="1" applyAlignment="1">
      <alignment horizontal="right"/>
    </xf>
    <xf numFmtId="0" fontId="23" fillId="46" borderId="0" xfId="1207" applyFont="1" applyFill="1" applyAlignment="1">
      <alignment horizontal="centerContinuous"/>
    </xf>
    <xf numFmtId="0" fontId="11" fillId="46" borderId="48" xfId="0" applyFont="1" applyFill="1" applyBorder="1" applyAlignment="1">
      <alignment horizontal="right"/>
    </xf>
    <xf numFmtId="0" fontId="11" fillId="46" borderId="30" xfId="0" applyFont="1" applyFill="1" applyBorder="1" applyAlignment="1">
      <alignment horizontal="right"/>
    </xf>
    <xf numFmtId="164" fontId="202" fillId="0" borderId="0" xfId="0" applyNumberFormat="1" applyFont="1"/>
    <xf numFmtId="0" fontId="58" fillId="0" borderId="0" xfId="1214" applyFont="1" applyFill="1" applyAlignment="1">
      <alignment horizontal="left"/>
    </xf>
    <xf numFmtId="0" fontId="11" fillId="46" borderId="17" xfId="0" applyFont="1" applyFill="1" applyBorder="1" applyAlignment="1">
      <alignment wrapText="1"/>
    </xf>
    <xf numFmtId="3" fontId="9" fillId="0" borderId="0" xfId="0" applyNumberFormat="1" applyFont="1" applyAlignment="1">
      <alignment horizontal="right"/>
    </xf>
    <xf numFmtId="0" fontId="93" fillId="49" borderId="0" xfId="0" applyFont="1" applyFill="1" applyBorder="1"/>
    <xf numFmtId="0" fontId="71" fillId="49" borderId="0" xfId="0" applyFont="1" applyFill="1" applyBorder="1"/>
    <xf numFmtId="10" fontId="93" fillId="49" borderId="0" xfId="0" applyNumberFormat="1" applyFont="1" applyFill="1" applyBorder="1"/>
    <xf numFmtId="2" fontId="9" fillId="0" borderId="0" xfId="0" applyNumberFormat="1" applyFont="1" applyBorder="1"/>
    <xf numFmtId="1" fontId="9" fillId="0" borderId="0" xfId="0" applyNumberFormat="1" applyFont="1" applyBorder="1"/>
    <xf numFmtId="0" fontId="49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0" fontId="49" fillId="0" borderId="0" xfId="0" applyFont="1" applyBorder="1" applyAlignment="1">
      <alignment horizontal="centerContinuous"/>
    </xf>
    <xf numFmtId="0" fontId="9" fillId="0" borderId="0" xfId="0" applyFont="1" applyBorder="1" applyAlignment="1">
      <alignment horizontal="centerContinuous"/>
    </xf>
    <xf numFmtId="0" fontId="49" fillId="0" borderId="24" xfId="0" applyFont="1" applyBorder="1" applyAlignment="1">
      <alignment vertical="center" wrapText="1"/>
    </xf>
    <xf numFmtId="0" fontId="14" fillId="0" borderId="24" xfId="0" applyFont="1" applyBorder="1"/>
    <xf numFmtId="0" fontId="51" fillId="0" borderId="24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46" fillId="0" borderId="24" xfId="0" applyFont="1" applyBorder="1" applyAlignment="1">
      <alignment horizontal="center"/>
    </xf>
    <xf numFmtId="0" fontId="14" fillId="0" borderId="17" xfId="0" applyFont="1" applyBorder="1" applyAlignment="1">
      <alignment horizontal="centerContinuous" vertical="center" wrapText="1"/>
    </xf>
    <xf numFmtId="0" fontId="153" fillId="0" borderId="17" xfId="0" applyFont="1" applyBorder="1" applyAlignment="1">
      <alignment horizontal="centerContinuous" vertical="center" wrapText="1"/>
    </xf>
    <xf numFmtId="0" fontId="9" fillId="0" borderId="48" xfId="0" applyFont="1" applyBorder="1"/>
    <xf numFmtId="0" fontId="9" fillId="0" borderId="17" xfId="0" applyFont="1" applyBorder="1" applyAlignment="1">
      <alignment horizontal="centerContinuous" vertical="center" wrapText="1"/>
    </xf>
    <xf numFmtId="0" fontId="102" fillId="0" borderId="17" xfId="0" applyFont="1" applyBorder="1" applyAlignment="1">
      <alignment horizontal="centerContinuous" vertical="center" wrapText="1"/>
    </xf>
    <xf numFmtId="0" fontId="102" fillId="0" borderId="17" xfId="0" applyFont="1" applyBorder="1" applyAlignment="1">
      <alignment horizontal="center" vertical="center" wrapText="1"/>
    </xf>
    <xf numFmtId="170" fontId="102" fillId="0" borderId="17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horizontal="left"/>
    </xf>
    <xf numFmtId="0" fontId="102" fillId="0" borderId="17" xfId="0" applyFont="1" applyBorder="1" applyAlignment="1">
      <alignment horizontal="left" vertical="center" wrapText="1"/>
    </xf>
    <xf numFmtId="169" fontId="102" fillId="0" borderId="17" xfId="0" applyNumberFormat="1" applyFont="1" applyBorder="1" applyAlignment="1">
      <alignment vertical="top"/>
    </xf>
    <xf numFmtId="0" fontId="102" fillId="0" borderId="17" xfId="0" applyFont="1" applyBorder="1" applyAlignment="1">
      <alignment vertical="top"/>
    </xf>
    <xf numFmtId="0" fontId="16" fillId="0" borderId="17" xfId="0" applyFont="1" applyBorder="1" applyAlignment="1">
      <alignment vertical="top"/>
    </xf>
    <xf numFmtId="4" fontId="16" fillId="0" borderId="17" xfId="0" applyNumberFormat="1" applyFont="1" applyBorder="1" applyAlignment="1">
      <alignment vertical="top"/>
    </xf>
    <xf numFmtId="0" fontId="8" fillId="48" borderId="17" xfId="0" applyFont="1" applyFill="1" applyBorder="1" applyAlignment="1">
      <alignment horizontal="left" vertical="center" wrapText="1"/>
    </xf>
    <xf numFmtId="195" fontId="152" fillId="48" borderId="17" xfId="1215" applyNumberFormat="1" applyFont="1" applyFill="1" applyBorder="1" applyAlignment="1">
      <alignment horizontal="right" wrapText="1"/>
    </xf>
    <xf numFmtId="2" fontId="9" fillId="46" borderId="48" xfId="0" applyNumberFormat="1" applyFont="1" applyFill="1" applyBorder="1"/>
    <xf numFmtId="164" fontId="102" fillId="0" borderId="17" xfId="0" applyNumberFormat="1" applyFont="1" applyBorder="1" applyAlignment="1">
      <alignment vertical="top"/>
    </xf>
    <xf numFmtId="0" fontId="152" fillId="0" borderId="17" xfId="0" applyFont="1" applyBorder="1" applyAlignment="1">
      <alignment vertical="top"/>
    </xf>
    <xf numFmtId="164" fontId="16" fillId="0" borderId="17" xfId="0" applyNumberFormat="1" applyFont="1" applyBorder="1" applyAlignment="1">
      <alignment vertical="top"/>
    </xf>
    <xf numFmtId="0" fontId="24" fillId="0" borderId="0" xfId="0" applyFont="1" applyBorder="1"/>
    <xf numFmtId="0" fontId="102" fillId="3" borderId="17" xfId="0" applyFont="1" applyFill="1" applyBorder="1" applyAlignment="1">
      <alignment horizontal="left" vertical="center" wrapText="1"/>
    </xf>
    <xf numFmtId="195" fontId="16" fillId="3" borderId="17" xfId="1215" applyNumberFormat="1" applyFont="1" applyFill="1" applyBorder="1" applyAlignment="1">
      <alignment horizontal="right" wrapText="1"/>
    </xf>
    <xf numFmtId="169" fontId="102" fillId="3" borderId="17" xfId="0" applyNumberFormat="1" applyFont="1" applyFill="1" applyBorder="1" applyAlignment="1">
      <alignment vertical="top"/>
    </xf>
    <xf numFmtId="0" fontId="24" fillId="0" borderId="48" xfId="0" applyFont="1" applyBorder="1" applyAlignment="1">
      <alignment horizontal="right"/>
    </xf>
    <xf numFmtId="195" fontId="24" fillId="0" borderId="0" xfId="0" applyNumberFormat="1" applyFont="1" applyBorder="1"/>
    <xf numFmtId="0" fontId="182" fillId="3" borderId="17" xfId="0" applyFont="1" applyFill="1" applyBorder="1" applyAlignment="1">
      <alignment horizontal="left" vertical="center" wrapText="1"/>
    </xf>
    <xf numFmtId="169" fontId="8" fillId="48" borderId="17" xfId="0" applyNumberFormat="1" applyFont="1" applyFill="1" applyBorder="1" applyAlignment="1"/>
    <xf numFmtId="195" fontId="9" fillId="46" borderId="48" xfId="0" applyNumberFormat="1" applyFont="1" applyFill="1" applyBorder="1"/>
    <xf numFmtId="195" fontId="9" fillId="46" borderId="0" xfId="0" applyNumberFormat="1" applyFont="1" applyFill="1" applyBorder="1"/>
    <xf numFmtId="173" fontId="16" fillId="3" borderId="17" xfId="1215" applyNumberFormat="1" applyFont="1" applyFill="1" applyBorder="1" applyAlignment="1">
      <alignment horizontal="right" wrapText="1"/>
    </xf>
    <xf numFmtId="195" fontId="8" fillId="48" borderId="17" xfId="1215" applyNumberFormat="1" applyFont="1" applyFill="1" applyBorder="1" applyAlignment="1">
      <alignment horizontal="right" wrapText="1"/>
    </xf>
    <xf numFmtId="0" fontId="9" fillId="33" borderId="0" xfId="0" applyFont="1" applyFill="1" applyBorder="1"/>
    <xf numFmtId="195" fontId="102" fillId="0" borderId="17" xfId="0" applyNumberFormat="1" applyFont="1" applyBorder="1" applyAlignment="1"/>
    <xf numFmtId="168" fontId="9" fillId="33" borderId="0" xfId="0" applyNumberFormat="1" applyFont="1" applyFill="1" applyBorder="1"/>
    <xf numFmtId="169" fontId="9" fillId="33" borderId="48" xfId="0" applyNumberFormat="1" applyFont="1" applyFill="1" applyBorder="1"/>
    <xf numFmtId="0" fontId="182" fillId="48" borderId="17" xfId="0" applyFont="1" applyFill="1" applyBorder="1" applyAlignment="1">
      <alignment horizontal="left"/>
    </xf>
    <xf numFmtId="0" fontId="182" fillId="48" borderId="17" xfId="0" applyFont="1" applyFill="1" applyBorder="1" applyAlignment="1">
      <alignment horizontal="left" vertical="center" wrapText="1"/>
    </xf>
    <xf numFmtId="195" fontId="182" fillId="48" borderId="17" xfId="1215" applyNumberFormat="1" applyFont="1" applyFill="1" applyBorder="1" applyAlignment="1">
      <alignment horizontal="right" wrapText="1"/>
    </xf>
    <xf numFmtId="173" fontId="182" fillId="48" borderId="17" xfId="1215" applyNumberFormat="1" applyFont="1" applyFill="1" applyBorder="1" applyAlignment="1">
      <alignment horizontal="right" wrapText="1"/>
    </xf>
    <xf numFmtId="169" fontId="182" fillId="33" borderId="48" xfId="0" applyNumberFormat="1" applyFont="1" applyFill="1" applyBorder="1"/>
    <xf numFmtId="195" fontId="182" fillId="33" borderId="0" xfId="0" applyNumberFormat="1" applyFont="1" applyFill="1" applyBorder="1"/>
    <xf numFmtId="169" fontId="9" fillId="46" borderId="0" xfId="0" applyNumberFormat="1" applyFont="1" applyFill="1" applyBorder="1"/>
    <xf numFmtId="0" fontId="9" fillId="0" borderId="17" xfId="0" applyFont="1" applyFill="1" applyBorder="1" applyAlignment="1">
      <alignment horizontal="left" vertical="center" wrapText="1"/>
    </xf>
    <xf numFmtId="0" fontId="102" fillId="0" borderId="17" xfId="0" applyFont="1" applyFill="1" applyBorder="1" applyAlignment="1">
      <alignment vertical="top"/>
    </xf>
    <xf numFmtId="173" fontId="16" fillId="0" borderId="17" xfId="1215" applyNumberFormat="1" applyFont="1" applyFill="1" applyBorder="1" applyAlignment="1">
      <alignment horizontal="right" wrapText="1"/>
    </xf>
    <xf numFmtId="0" fontId="16" fillId="0" borderId="17" xfId="0" applyFont="1" applyFill="1" applyBorder="1" applyAlignment="1">
      <alignment vertical="top"/>
    </xf>
    <xf numFmtId="0" fontId="9" fillId="48" borderId="17" xfId="0" applyFont="1" applyFill="1" applyBorder="1"/>
    <xf numFmtId="168" fontId="182" fillId="48" borderId="17" xfId="0" applyNumberFormat="1" applyFont="1" applyFill="1" applyBorder="1" applyAlignment="1"/>
    <xf numFmtId="4" fontId="9" fillId="46" borderId="0" xfId="0" applyNumberFormat="1" applyFont="1" applyFill="1" applyBorder="1"/>
    <xf numFmtId="4" fontId="9" fillId="46" borderId="48" xfId="0" applyNumberFormat="1" applyFont="1" applyFill="1" applyBorder="1"/>
    <xf numFmtId="168" fontId="9" fillId="46" borderId="48" xfId="0" applyNumberFormat="1" applyFont="1" applyFill="1" applyBorder="1"/>
    <xf numFmtId="168" fontId="9" fillId="46" borderId="0" xfId="0" applyNumberFormat="1" applyFont="1" applyFill="1" applyBorder="1"/>
    <xf numFmtId="0" fontId="9" fillId="46" borderId="48" xfId="0" applyFont="1" applyFill="1" applyBorder="1"/>
    <xf numFmtId="0" fontId="182" fillId="48" borderId="17" xfId="0" applyFont="1" applyFill="1" applyBorder="1"/>
    <xf numFmtId="195" fontId="182" fillId="48" borderId="23" xfId="1215" applyNumberFormat="1" applyFont="1" applyFill="1" applyBorder="1" applyAlignment="1">
      <alignment horizontal="right" wrapText="1"/>
    </xf>
    <xf numFmtId="168" fontId="102" fillId="0" borderId="17" xfId="0" applyNumberFormat="1" applyFont="1" applyBorder="1" applyAlignment="1">
      <alignment vertical="top"/>
    </xf>
    <xf numFmtId="0" fontId="102" fillId="0" borderId="0" xfId="0" applyFont="1" applyBorder="1" applyAlignment="1">
      <alignment horizontal="left" vertical="center" wrapText="1"/>
    </xf>
    <xf numFmtId="0" fontId="102" fillId="0" borderId="0" xfId="0" applyFont="1" applyBorder="1" applyAlignment="1">
      <alignment vertical="top"/>
    </xf>
    <xf numFmtId="0" fontId="102" fillId="0" borderId="29" xfId="0" applyFont="1" applyBorder="1" applyAlignment="1">
      <alignment vertical="top"/>
    </xf>
    <xf numFmtId="168" fontId="11" fillId="0" borderId="0" xfId="1181" applyNumberFormat="1" applyFont="1" applyAlignment="1">
      <alignment horizontal="right"/>
    </xf>
    <xf numFmtId="0" fontId="16" fillId="0" borderId="0" xfId="0" applyFont="1" applyAlignment="1">
      <alignment horizontal="left"/>
    </xf>
    <xf numFmtId="0" fontId="17" fillId="0" borderId="0" xfId="0" applyFont="1"/>
    <xf numFmtId="4" fontId="11" fillId="46" borderId="33" xfId="0" applyNumberFormat="1" applyFont="1" applyFill="1" applyBorder="1" applyAlignment="1">
      <alignment horizontal="center"/>
    </xf>
    <xf numFmtId="169" fontId="11" fillId="46" borderId="33" xfId="0" applyNumberFormat="1" applyFont="1" applyFill="1" applyBorder="1" applyAlignment="1">
      <alignment horizontal="center"/>
    </xf>
    <xf numFmtId="202" fontId="11" fillId="46" borderId="17" xfId="0" applyNumberFormat="1" applyFont="1" applyFill="1" applyBorder="1" applyAlignment="1">
      <alignment horizontal="center"/>
    </xf>
    <xf numFmtId="202" fontId="11" fillId="46" borderId="37" xfId="0" applyNumberFormat="1" applyFont="1" applyFill="1" applyBorder="1" applyAlignment="1">
      <alignment horizontal="center"/>
    </xf>
    <xf numFmtId="173" fontId="11" fillId="46" borderId="32" xfId="1215" applyNumberFormat="1" applyFont="1" applyFill="1" applyBorder="1" applyAlignment="1">
      <alignment horizontal="right" wrapText="1"/>
    </xf>
    <xf numFmtId="170" fontId="11" fillId="46" borderId="37" xfId="0" applyNumberFormat="1" applyFont="1" applyFill="1" applyBorder="1" applyAlignment="1">
      <alignment horizontal="right"/>
    </xf>
    <xf numFmtId="169" fontId="11" fillId="48" borderId="30" xfId="0" applyNumberFormat="1" applyFont="1" applyFill="1" applyBorder="1" applyAlignment="1">
      <alignment horizontal="center"/>
    </xf>
    <xf numFmtId="171" fontId="11" fillId="48" borderId="22" xfId="0" applyNumberFormat="1" applyFont="1" applyFill="1" applyBorder="1" applyAlignment="1">
      <alignment horizontal="center"/>
    </xf>
    <xf numFmtId="0" fontId="11" fillId="46" borderId="54" xfId="0" applyFont="1" applyFill="1" applyBorder="1" applyAlignment="1">
      <alignment horizontal="centerContinuous"/>
    </xf>
    <xf numFmtId="169" fontId="187" fillId="48" borderId="17" xfId="0" applyNumberFormat="1" applyFont="1" applyFill="1" applyBorder="1" applyAlignment="1">
      <alignment horizontal="center"/>
    </xf>
    <xf numFmtId="4" fontId="187" fillId="48" borderId="33" xfId="0" applyNumberFormat="1" applyFont="1" applyFill="1" applyBorder="1" applyAlignment="1">
      <alignment horizontal="center"/>
    </xf>
    <xf numFmtId="4" fontId="187" fillId="49" borderId="61" xfId="0" applyNumberFormat="1" applyFont="1" applyFill="1" applyBorder="1" applyAlignment="1">
      <alignment horizontal="center"/>
    </xf>
    <xf numFmtId="170" fontId="175" fillId="48" borderId="0" xfId="0" applyNumberFormat="1" applyFont="1" applyFill="1" applyBorder="1"/>
    <xf numFmtId="0" fontId="223" fillId="48" borderId="0" xfId="0" applyFont="1" applyFill="1" applyAlignment="1">
      <alignment horizontal="center" vertical="top" wrapText="1"/>
    </xf>
    <xf numFmtId="0" fontId="187" fillId="48" borderId="0" xfId="0" applyFont="1" applyFill="1"/>
    <xf numFmtId="170" fontId="187" fillId="48" borderId="0" xfId="0" applyNumberFormat="1" applyFont="1" applyFill="1"/>
    <xf numFmtId="173" fontId="49" fillId="46" borderId="34" xfId="1215" applyNumberFormat="1" applyFont="1" applyFill="1" applyBorder="1" applyAlignment="1">
      <alignment horizontal="right" wrapText="1"/>
    </xf>
    <xf numFmtId="3" fontId="51" fillId="46" borderId="17" xfId="0" applyNumberFormat="1" applyFont="1" applyFill="1" applyBorder="1" applyAlignment="1">
      <alignment horizontal="center"/>
    </xf>
    <xf numFmtId="3" fontId="14" fillId="46" borderId="20" xfId="0" applyNumberFormat="1" applyFont="1" applyFill="1" applyBorder="1" applyAlignment="1">
      <alignment horizontal="center" vertical="center" wrapText="1"/>
    </xf>
    <xf numFmtId="3" fontId="66" fillId="46" borderId="22" xfId="0" applyNumberFormat="1" applyFont="1" applyFill="1" applyBorder="1" applyAlignment="1">
      <alignment horizontal="center" wrapText="1"/>
    </xf>
    <xf numFmtId="3" fontId="49" fillId="46" borderId="50" xfId="0" applyNumberFormat="1" applyFont="1" applyFill="1" applyBorder="1" applyAlignment="1">
      <alignment horizontal="center" wrapText="1"/>
    </xf>
    <xf numFmtId="202" fontId="11" fillId="48" borderId="17" xfId="0" applyNumberFormat="1" applyFont="1" applyFill="1" applyBorder="1" applyAlignment="1">
      <alignment horizontal="center"/>
    </xf>
    <xf numFmtId="169" fontId="11" fillId="48" borderId="33" xfId="0" applyNumberFormat="1" applyFont="1" applyFill="1" applyBorder="1" applyAlignment="1">
      <alignment horizontal="center"/>
    </xf>
    <xf numFmtId="3" fontId="11" fillId="48" borderId="0" xfId="0" applyNumberFormat="1" applyFont="1" applyFill="1"/>
    <xf numFmtId="202" fontId="187" fillId="46" borderId="17" xfId="0" applyNumberFormat="1" applyFont="1" applyFill="1" applyBorder="1" applyAlignment="1">
      <alignment horizontal="center"/>
    </xf>
    <xf numFmtId="169" fontId="187" fillId="46" borderId="33" xfId="0" applyNumberFormat="1" applyFont="1" applyFill="1" applyBorder="1" applyAlignment="1">
      <alignment horizontal="center"/>
    </xf>
    <xf numFmtId="0" fontId="9" fillId="0" borderId="33" xfId="0" applyFont="1" applyBorder="1" applyAlignment="1">
      <alignment horizontal="center" vertical="top" wrapText="1"/>
    </xf>
    <xf numFmtId="0" fontId="224" fillId="0" borderId="0" xfId="1205" applyFont="1" applyAlignment="1">
      <alignment horizontal="centerContinuous"/>
    </xf>
    <xf numFmtId="10" fontId="224" fillId="0" borderId="0" xfId="1205" applyNumberFormat="1" applyFont="1" applyAlignment="1">
      <alignment horizontal="centerContinuous"/>
    </xf>
    <xf numFmtId="0" fontId="273" fillId="0" borderId="0" xfId="1205"/>
    <xf numFmtId="10" fontId="273" fillId="0" borderId="0" xfId="1205" applyNumberFormat="1"/>
    <xf numFmtId="0" fontId="175" fillId="0" borderId="0" xfId="1205" applyFont="1"/>
    <xf numFmtId="0" fontId="9" fillId="0" borderId="0" xfId="1205" applyFont="1"/>
    <xf numFmtId="10" fontId="9" fillId="0" borderId="0" xfId="1205" applyNumberFormat="1" applyFont="1"/>
    <xf numFmtId="3" fontId="175" fillId="0" borderId="0" xfId="1205" applyNumberFormat="1" applyFont="1"/>
    <xf numFmtId="0" fontId="11" fillId="0" borderId="0" xfId="1205" applyFont="1"/>
    <xf numFmtId="0" fontId="11" fillId="46" borderId="0" xfId="1205" applyFont="1" applyFill="1"/>
    <xf numFmtId="0" fontId="9" fillId="0" borderId="23" xfId="1205" applyFont="1" applyBorder="1" applyAlignment="1">
      <alignment horizontal="centerContinuous" wrapText="1"/>
    </xf>
    <xf numFmtId="10" fontId="9" fillId="0" borderId="23" xfId="1205" applyNumberFormat="1" applyFont="1" applyBorder="1" applyAlignment="1">
      <alignment horizontal="centerContinuous" wrapText="1"/>
    </xf>
    <xf numFmtId="0" fontId="9" fillId="0" borderId="17" xfId="1205" applyFont="1" applyBorder="1" applyAlignment="1">
      <alignment horizontal="centerContinuous" wrapText="1"/>
    </xf>
    <xf numFmtId="0" fontId="9" fillId="0" borderId="17" xfId="1205" applyFont="1" applyBorder="1" applyAlignment="1">
      <alignment horizontal="center" wrapText="1"/>
    </xf>
    <xf numFmtId="10" fontId="10" fillId="0" borderId="17" xfId="1205" applyNumberFormat="1" applyFont="1" applyBorder="1" applyAlignment="1">
      <alignment horizontal="center" vertical="top" wrapText="1"/>
    </xf>
    <xf numFmtId="0" fontId="10" fillId="0" borderId="17" xfId="1205" applyFont="1" applyBorder="1" applyAlignment="1">
      <alignment horizontal="center" vertical="top" wrapText="1"/>
    </xf>
    <xf numFmtId="0" fontId="9" fillId="0" borderId="17" xfId="1205" applyFont="1" applyBorder="1" applyAlignment="1">
      <alignment horizontal="center" vertical="top" wrapText="1"/>
    </xf>
    <xf numFmtId="0" fontId="14" fillId="0" borderId="17" xfId="1205" applyFont="1" applyBorder="1" applyAlignment="1">
      <alignment horizontal="center" vertical="top" wrapText="1"/>
    </xf>
    <xf numFmtId="10" fontId="9" fillId="44" borderId="17" xfId="1205" applyNumberFormat="1" applyFont="1" applyFill="1" applyBorder="1" applyAlignment="1">
      <alignment horizontal="center" vertical="top" wrapText="1"/>
    </xf>
    <xf numFmtId="0" fontId="9" fillId="44" borderId="17" xfId="1205" applyFont="1" applyFill="1" applyBorder="1" applyAlignment="1">
      <alignment horizontal="center" vertical="top" wrapText="1"/>
    </xf>
    <xf numFmtId="0" fontId="9" fillId="46" borderId="17" xfId="1205" applyFont="1" applyFill="1" applyBorder="1" applyAlignment="1">
      <alignment horizontal="center" vertical="top" wrapText="1"/>
    </xf>
    <xf numFmtId="10" fontId="9" fillId="44" borderId="17" xfId="1205" applyNumberFormat="1" applyFont="1" applyFill="1" applyBorder="1" applyAlignment="1">
      <alignment horizontal="center" wrapText="1"/>
    </xf>
    <xf numFmtId="0" fontId="9" fillId="46" borderId="17" xfId="1205" applyFont="1" applyFill="1" applyBorder="1" applyAlignment="1">
      <alignment horizontal="center" wrapText="1"/>
    </xf>
    <xf numFmtId="4" fontId="9" fillId="46" borderId="17" xfId="1205" applyNumberFormat="1" applyFont="1" applyFill="1" applyBorder="1" applyAlignment="1">
      <alignment horizontal="center" wrapText="1"/>
    </xf>
    <xf numFmtId="3" fontId="9" fillId="46" borderId="17" xfId="1205" applyNumberFormat="1" applyFont="1" applyFill="1" applyBorder="1" applyAlignment="1">
      <alignment horizontal="center" wrapText="1"/>
    </xf>
    <xf numFmtId="0" fontId="9" fillId="46" borderId="0" xfId="1205" applyFont="1" applyFill="1" applyBorder="1" applyAlignment="1">
      <alignment horizontal="center" wrapText="1"/>
    </xf>
    <xf numFmtId="4" fontId="9" fillId="46" borderId="0" xfId="1205" applyNumberFormat="1" applyFont="1" applyFill="1" applyBorder="1" applyAlignment="1">
      <alignment horizontal="center" wrapText="1"/>
    </xf>
    <xf numFmtId="10" fontId="9" fillId="46" borderId="0" xfId="1205" applyNumberFormat="1" applyFont="1" applyFill="1" applyBorder="1" applyAlignment="1">
      <alignment horizontal="center" wrapText="1"/>
    </xf>
    <xf numFmtId="3" fontId="9" fillId="46" borderId="0" xfId="1205" applyNumberFormat="1" applyFont="1" applyFill="1" applyBorder="1" applyAlignment="1">
      <alignment horizontal="center" wrapText="1"/>
    </xf>
    <xf numFmtId="4" fontId="175" fillId="46" borderId="0" xfId="1205" applyNumberFormat="1" applyFont="1" applyFill="1" applyBorder="1" applyAlignment="1">
      <alignment horizontal="right"/>
    </xf>
    <xf numFmtId="0" fontId="175" fillId="48" borderId="0" xfId="1205" applyFont="1" applyFill="1"/>
    <xf numFmtId="0" fontId="9" fillId="48" borderId="0" xfId="1205" applyFont="1" applyFill="1"/>
    <xf numFmtId="10" fontId="9" fillId="48" borderId="0" xfId="1205" applyNumberFormat="1" applyFont="1" applyFill="1"/>
    <xf numFmtId="3" fontId="175" fillId="48" borderId="0" xfId="1205" applyNumberFormat="1" applyFont="1" applyFill="1"/>
    <xf numFmtId="0" fontId="11" fillId="48" borderId="0" xfId="1205" applyFont="1" applyFill="1"/>
    <xf numFmtId="0" fontId="178" fillId="49" borderId="0" xfId="1205" applyFont="1" applyFill="1"/>
    <xf numFmtId="0" fontId="9" fillId="48" borderId="23" xfId="1205" applyFont="1" applyFill="1" applyBorder="1" applyAlignment="1">
      <alignment horizontal="centerContinuous" wrapText="1"/>
    </xf>
    <xf numFmtId="10" fontId="9" fillId="48" borderId="23" xfId="1205" applyNumberFormat="1" applyFont="1" applyFill="1" applyBorder="1" applyAlignment="1">
      <alignment horizontal="centerContinuous" wrapText="1"/>
    </xf>
    <xf numFmtId="0" fontId="9" fillId="48" borderId="17" xfId="1205" applyFont="1" applyFill="1" applyBorder="1" applyAlignment="1">
      <alignment horizontal="centerContinuous" wrapText="1"/>
    </xf>
    <xf numFmtId="0" fontId="9" fillId="48" borderId="17" xfId="1205" applyFont="1" applyFill="1" applyBorder="1" applyAlignment="1">
      <alignment horizontal="center" wrapText="1"/>
    </xf>
    <xf numFmtId="10" fontId="10" fillId="48" borderId="17" xfId="1205" applyNumberFormat="1" applyFont="1" applyFill="1" applyBorder="1" applyAlignment="1">
      <alignment horizontal="center" vertical="top" wrapText="1"/>
    </xf>
    <xf numFmtId="0" fontId="10" fillId="48" borderId="17" xfId="1205" applyFont="1" applyFill="1" applyBorder="1" applyAlignment="1">
      <alignment horizontal="center" vertical="top" wrapText="1"/>
    </xf>
    <xf numFmtId="0" fontId="9" fillId="48" borderId="17" xfId="1205" applyFont="1" applyFill="1" applyBorder="1" applyAlignment="1">
      <alignment horizontal="center" vertical="top" wrapText="1"/>
    </xf>
    <xf numFmtId="0" fontId="175" fillId="44" borderId="0" xfId="1205" applyFont="1" applyFill="1"/>
    <xf numFmtId="0" fontId="14" fillId="48" borderId="17" xfId="1205" applyFont="1" applyFill="1" applyBorder="1" applyAlignment="1">
      <alignment horizontal="center" vertical="top" wrapText="1"/>
    </xf>
    <xf numFmtId="10" fontId="9" fillId="48" borderId="17" xfId="1205" applyNumberFormat="1" applyFont="1" applyFill="1" applyBorder="1" applyAlignment="1">
      <alignment horizontal="center" vertical="top" wrapText="1"/>
    </xf>
    <xf numFmtId="0" fontId="175" fillId="44" borderId="33" xfId="1205" applyFont="1" applyFill="1" applyBorder="1" applyAlignment="1">
      <alignment horizontal="centerContinuous"/>
    </xf>
    <xf numFmtId="0" fontId="175" fillId="44" borderId="23" xfId="1205" applyFont="1" applyFill="1" applyBorder="1"/>
    <xf numFmtId="0" fontId="175" fillId="44" borderId="33" xfId="1205" applyFont="1" applyFill="1" applyBorder="1" applyAlignment="1">
      <alignment horizontal="center"/>
    </xf>
    <xf numFmtId="0" fontId="175" fillId="44" borderId="17" xfId="1205" applyFont="1" applyFill="1" applyBorder="1" applyAlignment="1">
      <alignment horizontal="center"/>
    </xf>
    <xf numFmtId="0" fontId="175" fillId="44" borderId="25" xfId="1205" applyFont="1" applyFill="1" applyBorder="1"/>
    <xf numFmtId="4" fontId="182" fillId="48" borderId="17" xfId="1205" applyNumberFormat="1" applyFont="1" applyFill="1" applyBorder="1" applyAlignment="1">
      <alignment horizontal="center" wrapText="1"/>
    </xf>
    <xf numFmtId="10" fontId="9" fillId="48" borderId="17" xfId="1205" applyNumberFormat="1" applyFont="1" applyFill="1" applyBorder="1" applyAlignment="1">
      <alignment horizontal="center" wrapText="1"/>
    </xf>
    <xf numFmtId="3" fontId="9" fillId="48" borderId="17" xfId="1205" applyNumberFormat="1" applyFont="1" applyFill="1" applyBorder="1" applyAlignment="1">
      <alignment horizontal="center" wrapText="1"/>
    </xf>
    <xf numFmtId="10" fontId="182" fillId="44" borderId="17" xfId="1205" applyNumberFormat="1" applyFont="1" applyFill="1" applyBorder="1" applyAlignment="1">
      <alignment horizontal="center" wrapText="1"/>
    </xf>
    <xf numFmtId="0" fontId="14" fillId="44" borderId="17" xfId="1205" applyFont="1" applyFill="1" applyBorder="1" applyAlignment="1">
      <alignment horizontal="center" vertical="top" wrapText="1"/>
    </xf>
    <xf numFmtId="0" fontId="225" fillId="0" borderId="0" xfId="0" applyFont="1" applyAlignment="1">
      <alignment horizontal="left"/>
    </xf>
    <xf numFmtId="202" fontId="187" fillId="48" borderId="17" xfId="0" applyNumberFormat="1" applyFont="1" applyFill="1" applyBorder="1" applyAlignment="1">
      <alignment horizontal="center"/>
    </xf>
    <xf numFmtId="169" fontId="187" fillId="48" borderId="33" xfId="0" applyNumberFormat="1" applyFont="1" applyFill="1" applyBorder="1" applyAlignment="1">
      <alignment horizontal="center"/>
    </xf>
    <xf numFmtId="202" fontId="11" fillId="48" borderId="37" xfId="0" applyNumberFormat="1" applyFont="1" applyFill="1" applyBorder="1" applyAlignment="1">
      <alignment horizontal="center"/>
    </xf>
    <xf numFmtId="169" fontId="11" fillId="48" borderId="36" xfId="0" applyNumberFormat="1" applyFont="1" applyFill="1" applyBorder="1" applyAlignment="1">
      <alignment horizontal="center"/>
    </xf>
    <xf numFmtId="0" fontId="9" fillId="0" borderId="33" xfId="0" applyFont="1" applyBorder="1" applyAlignment="1">
      <alignment horizontal="center" wrapText="1"/>
    </xf>
    <xf numFmtId="0" fontId="182" fillId="0" borderId="33" xfId="0" applyFont="1" applyBorder="1" applyAlignment="1">
      <alignment horizontal="center" vertical="top" wrapText="1"/>
    </xf>
    <xf numFmtId="4" fontId="175" fillId="33" borderId="23" xfId="0" applyNumberFormat="1" applyFont="1" applyFill="1" applyBorder="1" applyAlignment="1">
      <alignment horizontal="center" wrapText="1"/>
    </xf>
    <xf numFmtId="4" fontId="175" fillId="33" borderId="20" xfId="0" applyNumberFormat="1" applyFont="1" applyFill="1" applyBorder="1" applyAlignment="1">
      <alignment horizontal="center" wrapText="1"/>
    </xf>
    <xf numFmtId="170" fontId="11" fillId="48" borderId="0" xfId="0" applyNumberFormat="1" applyFont="1" applyFill="1"/>
    <xf numFmtId="170" fontId="226" fillId="49" borderId="0" xfId="0" applyNumberFormat="1" applyFont="1" applyFill="1"/>
    <xf numFmtId="0" fontId="178" fillId="49" borderId="0" xfId="0" applyFont="1" applyFill="1"/>
    <xf numFmtId="171" fontId="11" fillId="48" borderId="30" xfId="0" applyNumberFormat="1" applyFont="1" applyFill="1" applyBorder="1" applyAlignment="1">
      <alignment horizontal="center"/>
    </xf>
    <xf numFmtId="171" fontId="11" fillId="46" borderId="17" xfId="0" applyNumberFormat="1" applyFont="1" applyFill="1" applyBorder="1" applyAlignment="1">
      <alignment horizontal="center"/>
    </xf>
    <xf numFmtId="171" fontId="11" fillId="46" borderId="37" xfId="0" applyNumberFormat="1" applyFont="1" applyFill="1" applyBorder="1" applyAlignment="1">
      <alignment horizontal="center"/>
    </xf>
    <xf numFmtId="171" fontId="187" fillId="48" borderId="17" xfId="0" applyNumberFormat="1" applyFont="1" applyFill="1" applyBorder="1" applyAlignment="1">
      <alignment horizontal="center"/>
    </xf>
    <xf numFmtId="0" fontId="187" fillId="48" borderId="32" xfId="0" applyFont="1" applyFill="1" applyBorder="1" applyAlignment="1">
      <alignment horizontal="center"/>
    </xf>
    <xf numFmtId="0" fontId="187" fillId="48" borderId="17" xfId="0" applyFont="1" applyFill="1" applyBorder="1"/>
    <xf numFmtId="3" fontId="175" fillId="48" borderId="17" xfId="0" applyNumberFormat="1" applyFont="1" applyFill="1" applyBorder="1" applyAlignment="1">
      <alignment horizontal="center" wrapText="1"/>
    </xf>
    <xf numFmtId="170" fontId="187" fillId="48" borderId="33" xfId="0" applyNumberFormat="1" applyFont="1" applyFill="1" applyBorder="1" applyAlignment="1">
      <alignment horizontal="center"/>
    </xf>
    <xf numFmtId="0" fontId="11" fillId="46" borderId="37" xfId="0" applyFont="1" applyFill="1" applyBorder="1" applyAlignment="1">
      <alignment wrapText="1"/>
    </xf>
    <xf numFmtId="170" fontId="227" fillId="49" borderId="32" xfId="0" applyNumberFormat="1" applyFont="1" applyFill="1" applyBorder="1" applyAlignment="1">
      <alignment horizontal="centerContinuous" wrapText="1"/>
    </xf>
    <xf numFmtId="170" fontId="227" fillId="49" borderId="17" xfId="0" applyNumberFormat="1" applyFont="1" applyFill="1" applyBorder="1" applyAlignment="1">
      <alignment horizontal="centerContinuous" wrapText="1"/>
    </xf>
    <xf numFmtId="0" fontId="156" fillId="0" borderId="0" xfId="1205" applyFont="1" applyAlignment="1">
      <alignment horizontal="centerContinuous"/>
    </xf>
    <xf numFmtId="10" fontId="156" fillId="0" borderId="0" xfId="1205" applyNumberFormat="1" applyFont="1" applyAlignment="1">
      <alignment horizontal="centerContinuous"/>
    </xf>
    <xf numFmtId="0" fontId="24" fillId="0" borderId="0" xfId="1205" applyFont="1"/>
    <xf numFmtId="3" fontId="24" fillId="0" borderId="0" xfId="1205" applyNumberFormat="1" applyFont="1"/>
    <xf numFmtId="4" fontId="24" fillId="46" borderId="0" xfId="1205" applyNumberFormat="1" applyFont="1" applyFill="1" applyBorder="1" applyAlignment="1">
      <alignment horizontal="right"/>
    </xf>
    <xf numFmtId="0" fontId="24" fillId="48" borderId="0" xfId="1205" applyFont="1" applyFill="1"/>
    <xf numFmtId="3" fontId="24" fillId="48" borderId="0" xfId="1205" applyNumberFormat="1" applyFont="1" applyFill="1"/>
    <xf numFmtId="0" fontId="93" fillId="49" borderId="0" xfId="1205" applyFont="1" applyFill="1"/>
    <xf numFmtId="0" fontId="24" fillId="44" borderId="0" xfId="1205" applyFont="1" applyFill="1"/>
    <xf numFmtId="0" fontId="24" fillId="44" borderId="33" xfId="1205" applyFont="1" applyFill="1" applyBorder="1" applyAlignment="1">
      <alignment horizontal="centerContinuous"/>
    </xf>
    <xf numFmtId="0" fontId="24" fillId="44" borderId="23" xfId="1205" applyFont="1" applyFill="1" applyBorder="1"/>
    <xf numFmtId="0" fontId="24" fillId="44" borderId="33" xfId="1205" applyFont="1" applyFill="1" applyBorder="1" applyAlignment="1">
      <alignment horizontal="center"/>
    </xf>
    <xf numFmtId="0" fontId="24" fillId="44" borderId="17" xfId="1205" applyFont="1" applyFill="1" applyBorder="1" applyAlignment="1">
      <alignment horizontal="center"/>
    </xf>
    <xf numFmtId="0" fontId="24" fillId="44" borderId="25" xfId="1205" applyFont="1" applyFill="1" applyBorder="1"/>
    <xf numFmtId="4" fontId="8" fillId="48" borderId="17" xfId="1205" applyNumberFormat="1" applyFont="1" applyFill="1" applyBorder="1" applyAlignment="1">
      <alignment horizontal="center" wrapText="1"/>
    </xf>
    <xf numFmtId="10" fontId="8" fillId="44" borderId="17" xfId="1205" applyNumberFormat="1" applyFont="1" applyFill="1" applyBorder="1" applyAlignment="1">
      <alignment horizontal="center" wrapText="1"/>
    </xf>
    <xf numFmtId="0" fontId="14" fillId="46" borderId="17" xfId="1205" applyFont="1" applyFill="1" applyBorder="1" applyAlignment="1">
      <alignment horizontal="center" vertical="top" wrapText="1"/>
    </xf>
    <xf numFmtId="10" fontId="9" fillId="44" borderId="0" xfId="1205" applyNumberFormat="1" applyFont="1" applyFill="1" applyBorder="1" applyAlignment="1">
      <alignment horizontal="center" wrapText="1"/>
    </xf>
    <xf numFmtId="170" fontId="11" fillId="46" borderId="32" xfId="0" applyNumberFormat="1" applyFont="1" applyFill="1" applyBorder="1" applyAlignment="1"/>
    <xf numFmtId="170" fontId="11" fillId="46" borderId="17" xfId="0" applyNumberFormat="1" applyFont="1" applyFill="1" applyBorder="1" applyAlignment="1"/>
    <xf numFmtId="170" fontId="11" fillId="46" borderId="34" xfId="0" applyNumberFormat="1" applyFont="1" applyFill="1" applyBorder="1" applyAlignment="1"/>
    <xf numFmtId="170" fontId="11" fillId="46" borderId="26" xfId="0" applyNumberFormat="1" applyFont="1" applyFill="1" applyBorder="1" applyAlignment="1"/>
    <xf numFmtId="173" fontId="11" fillId="46" borderId="35" xfId="1215" applyNumberFormat="1" applyFont="1" applyFill="1" applyBorder="1" applyAlignment="1">
      <alignment horizontal="right"/>
    </xf>
    <xf numFmtId="173" fontId="11" fillId="46" borderId="74" xfId="1215" applyNumberFormat="1" applyFont="1" applyFill="1" applyBorder="1" applyAlignment="1">
      <alignment horizontal="right"/>
    </xf>
    <xf numFmtId="173" fontId="11" fillId="46" borderId="38" xfId="1215" applyNumberFormat="1" applyFont="1" applyFill="1" applyBorder="1" applyAlignment="1">
      <alignment horizontal="right"/>
    </xf>
    <xf numFmtId="170" fontId="11" fillId="46" borderId="38" xfId="0" applyNumberFormat="1" applyFont="1" applyFill="1" applyBorder="1" applyAlignment="1"/>
    <xf numFmtId="4" fontId="11" fillId="46" borderId="38" xfId="0" applyNumberFormat="1" applyFont="1" applyFill="1" applyBorder="1" applyAlignment="1">
      <alignment horizontal="center"/>
    </xf>
    <xf numFmtId="4" fontId="11" fillId="46" borderId="34" xfId="0" applyNumberFormat="1" applyFont="1" applyFill="1" applyBorder="1" applyAlignment="1">
      <alignment horizontal="center"/>
    </xf>
    <xf numFmtId="4" fontId="11" fillId="46" borderId="32" xfId="0" applyNumberFormat="1" applyFont="1" applyFill="1" applyBorder="1" applyAlignment="1">
      <alignment horizontal="center"/>
    </xf>
    <xf numFmtId="4" fontId="11" fillId="46" borderId="17" xfId="0" applyNumberFormat="1" applyFont="1" applyFill="1" applyBorder="1" applyAlignment="1">
      <alignment horizontal="center"/>
    </xf>
    <xf numFmtId="4" fontId="11" fillId="46" borderId="61" xfId="0" applyNumberFormat="1" applyFont="1" applyFill="1" applyBorder="1" applyAlignment="1">
      <alignment horizontal="center"/>
    </xf>
    <xf numFmtId="4" fontId="187" fillId="46" borderId="61" xfId="0" applyNumberFormat="1" applyFont="1" applyFill="1" applyBorder="1" applyAlignment="1">
      <alignment horizontal="center"/>
    </xf>
    <xf numFmtId="0" fontId="11" fillId="46" borderId="32" xfId="0" applyFont="1" applyFill="1" applyBorder="1" applyAlignment="1">
      <alignment horizontal="center"/>
    </xf>
    <xf numFmtId="0" fontId="49" fillId="0" borderId="21" xfId="0" applyFont="1" applyBorder="1" applyAlignment="1">
      <alignment horizontal="center"/>
    </xf>
    <xf numFmtId="0" fontId="49" fillId="46" borderId="46" xfId="0" applyFont="1" applyFill="1" applyBorder="1" applyAlignment="1">
      <alignment wrapText="1"/>
    </xf>
    <xf numFmtId="3" fontId="49" fillId="46" borderId="46" xfId="0" applyNumberFormat="1" applyFont="1" applyFill="1" applyBorder="1" applyAlignment="1">
      <alignment horizontal="center" wrapText="1"/>
    </xf>
    <xf numFmtId="0" fontId="11" fillId="46" borderId="46" xfId="0" applyFont="1" applyFill="1" applyBorder="1"/>
    <xf numFmtId="0" fontId="11" fillId="46" borderId="90" xfId="0" applyFont="1" applyFill="1" applyBorder="1"/>
    <xf numFmtId="0" fontId="9" fillId="46" borderId="21" xfId="0" applyFont="1" applyFill="1" applyBorder="1" applyAlignment="1">
      <alignment horizontal="center"/>
    </xf>
    <xf numFmtId="0" fontId="9" fillId="46" borderId="46" xfId="0" applyFont="1" applyFill="1" applyBorder="1" applyAlignment="1">
      <alignment horizontal="center"/>
    </xf>
    <xf numFmtId="0" fontId="9" fillId="46" borderId="47" xfId="0" applyFont="1" applyFill="1" applyBorder="1" applyAlignment="1">
      <alignment horizontal="center"/>
    </xf>
    <xf numFmtId="170" fontId="49" fillId="46" borderId="21" xfId="0" applyNumberFormat="1" applyFont="1" applyFill="1" applyBorder="1"/>
    <xf numFmtId="170" fontId="49" fillId="46" borderId="46" xfId="0" applyNumberFormat="1" applyFont="1" applyFill="1" applyBorder="1"/>
    <xf numFmtId="170" fontId="49" fillId="46" borderId="47" xfId="0" applyNumberFormat="1" applyFont="1" applyFill="1" applyBorder="1"/>
    <xf numFmtId="173" fontId="51" fillId="46" borderId="21" xfId="1215" applyNumberFormat="1" applyFont="1" applyFill="1" applyBorder="1" applyAlignment="1">
      <alignment horizontal="right" wrapText="1"/>
    </xf>
    <xf numFmtId="173" fontId="51" fillId="46" borderId="46" xfId="1215" applyNumberFormat="1" applyFont="1" applyFill="1" applyBorder="1" applyAlignment="1">
      <alignment horizontal="right" wrapText="1"/>
    </xf>
    <xf numFmtId="4" fontId="187" fillId="49" borderId="34" xfId="0" applyNumberFormat="1" applyFont="1" applyFill="1" applyBorder="1" applyAlignment="1">
      <alignment horizontal="center"/>
    </xf>
    <xf numFmtId="170" fontId="228" fillId="46" borderId="34" xfId="0" applyNumberFormat="1" applyFont="1" applyFill="1" applyBorder="1"/>
    <xf numFmtId="170" fontId="229" fillId="0" borderId="0" xfId="0" applyNumberFormat="1" applyFont="1"/>
    <xf numFmtId="170" fontId="49" fillId="46" borderId="26" xfId="0" applyNumberFormat="1" applyFont="1" applyFill="1" applyBorder="1"/>
    <xf numFmtId="173" fontId="11" fillId="46" borderId="26" xfId="1215" applyNumberFormat="1" applyFont="1" applyFill="1" applyBorder="1" applyAlignment="1">
      <alignment horizontal="right" wrapText="1"/>
    </xf>
    <xf numFmtId="170" fontId="11" fillId="46" borderId="74" xfId="0" applyNumberFormat="1" applyFont="1" applyFill="1" applyBorder="1"/>
    <xf numFmtId="0" fontId="187" fillId="44" borderId="34" xfId="0" applyFont="1" applyFill="1" applyBorder="1" applyAlignment="1">
      <alignment horizontal="right"/>
    </xf>
    <xf numFmtId="170" fontId="187" fillId="44" borderId="32" xfId="0" applyNumberFormat="1" applyFont="1" applyFill="1" applyBorder="1"/>
    <xf numFmtId="170" fontId="187" fillId="44" borderId="17" xfId="0" applyNumberFormat="1" applyFont="1" applyFill="1" applyBorder="1"/>
    <xf numFmtId="170" fontId="11" fillId="44" borderId="34" xfId="0" applyNumberFormat="1" applyFont="1" applyFill="1" applyBorder="1"/>
    <xf numFmtId="170" fontId="187" fillId="44" borderId="34" xfId="0" applyNumberFormat="1" applyFont="1" applyFill="1" applyBorder="1"/>
    <xf numFmtId="170" fontId="49" fillId="46" borderId="31" xfId="0" applyNumberFormat="1" applyFont="1" applyFill="1" applyBorder="1" applyAlignment="1">
      <alignment horizontal="centerContinuous" wrapText="1"/>
    </xf>
    <xf numFmtId="173" fontId="11" fillId="46" borderId="37" xfId="1215" applyNumberFormat="1" applyFont="1" applyFill="1" applyBorder="1" applyAlignment="1">
      <alignment horizontal="right" wrapText="1"/>
    </xf>
    <xf numFmtId="173" fontId="11" fillId="46" borderId="38" xfId="1215" applyNumberFormat="1" applyFont="1" applyFill="1" applyBorder="1" applyAlignment="1">
      <alignment horizontal="right" wrapText="1"/>
    </xf>
    <xf numFmtId="170" fontId="24" fillId="44" borderId="0" xfId="0" applyNumberFormat="1" applyFont="1" applyFill="1" applyBorder="1"/>
    <xf numFmtId="170" fontId="175" fillId="44" borderId="0" xfId="0" applyNumberFormat="1" applyFont="1" applyFill="1" applyBorder="1"/>
    <xf numFmtId="173" fontId="49" fillId="46" borderId="32" xfId="1215" applyNumberFormat="1" applyFont="1" applyFill="1" applyBorder="1" applyAlignment="1">
      <alignment horizontal="right" wrapText="1"/>
    </xf>
    <xf numFmtId="173" fontId="49" fillId="46" borderId="17" xfId="1215" applyNumberFormat="1" applyFont="1" applyFill="1" applyBorder="1" applyAlignment="1">
      <alignment horizontal="right" wrapText="1"/>
    </xf>
    <xf numFmtId="173" fontId="51" fillId="46" borderId="38" xfId="1215" applyNumberFormat="1" applyFont="1" applyFill="1" applyBorder="1" applyAlignment="1">
      <alignment horizontal="right" wrapText="1"/>
    </xf>
    <xf numFmtId="170" fontId="175" fillId="46" borderId="0" xfId="0" applyNumberFormat="1" applyFont="1" applyFill="1" applyBorder="1"/>
    <xf numFmtId="0" fontId="223" fillId="46" borderId="0" xfId="0" applyFont="1" applyFill="1" applyAlignment="1">
      <alignment horizontal="center" vertical="top" wrapText="1"/>
    </xf>
    <xf numFmtId="170" fontId="187" fillId="46" borderId="0" xfId="0" applyNumberFormat="1" applyFont="1" applyFill="1"/>
    <xf numFmtId="170" fontId="229" fillId="34" borderId="0" xfId="0" applyNumberFormat="1" applyFont="1" applyFill="1"/>
    <xf numFmtId="0" fontId="187" fillId="34" borderId="0" xfId="0" applyFont="1" applyFill="1"/>
    <xf numFmtId="170" fontId="175" fillId="34" borderId="0" xfId="0" applyNumberFormat="1" applyFont="1" applyFill="1" applyBorder="1"/>
    <xf numFmtId="0" fontId="188" fillId="34" borderId="0" xfId="0" applyFont="1" applyFill="1"/>
    <xf numFmtId="0" fontId="183" fillId="0" borderId="0" xfId="0" applyFont="1"/>
    <xf numFmtId="0" fontId="178" fillId="49" borderId="0" xfId="0" applyFont="1" applyFill="1" applyAlignment="1">
      <alignment horizontal="center" vertical="top" wrapText="1"/>
    </xf>
    <xf numFmtId="170" fontId="178" fillId="49" borderId="0" xfId="0" applyNumberFormat="1" applyFont="1" applyFill="1"/>
    <xf numFmtId="170" fontId="24" fillId="44" borderId="0" xfId="0" applyNumberFormat="1" applyFont="1" applyFill="1" applyBorder="1" applyAlignment="1">
      <alignment horizontal="center" wrapText="1"/>
    </xf>
    <xf numFmtId="172" fontId="24" fillId="44" borderId="0" xfId="0" applyNumberFormat="1" applyFont="1" applyFill="1" applyBorder="1"/>
    <xf numFmtId="0" fontId="230" fillId="33" borderId="0" xfId="0" applyFont="1" applyFill="1"/>
    <xf numFmtId="0" fontId="230" fillId="46" borderId="0" xfId="0" applyFont="1" applyFill="1"/>
    <xf numFmtId="0" fontId="175" fillId="33" borderId="17" xfId="0" applyFont="1" applyFill="1" applyBorder="1" applyAlignment="1">
      <alignment horizontal="right"/>
    </xf>
    <xf numFmtId="0" fontId="231" fillId="33" borderId="17" xfId="0" applyFont="1" applyFill="1" applyBorder="1"/>
    <xf numFmtId="0" fontId="175" fillId="33" borderId="17" xfId="0" applyFont="1" applyFill="1" applyBorder="1"/>
    <xf numFmtId="0" fontId="231" fillId="33" borderId="17" xfId="0" applyFont="1" applyFill="1" applyBorder="1" applyAlignment="1">
      <alignment horizontal="right"/>
    </xf>
    <xf numFmtId="0" fontId="176" fillId="33" borderId="17" xfId="0" applyFont="1" applyFill="1" applyBorder="1"/>
    <xf numFmtId="170" fontId="176" fillId="33" borderId="17" xfId="0" applyNumberFormat="1" applyFont="1" applyFill="1" applyBorder="1"/>
    <xf numFmtId="173" fontId="176" fillId="33" borderId="17" xfId="1215" applyNumberFormat="1" applyFont="1" applyFill="1" applyBorder="1" applyAlignment="1">
      <alignment horizontal="right" wrapText="1"/>
    </xf>
    <xf numFmtId="0" fontId="230" fillId="46" borderId="0" xfId="0" applyFont="1" applyFill="1" applyBorder="1"/>
    <xf numFmtId="170" fontId="176" fillId="46" borderId="48" xfId="0" applyNumberFormat="1" applyFont="1" applyFill="1" applyBorder="1"/>
    <xf numFmtId="170" fontId="176" fillId="46" borderId="0" xfId="0" applyNumberFormat="1" applyFont="1" applyFill="1" applyBorder="1"/>
    <xf numFmtId="0" fontId="230" fillId="33" borderId="33" xfId="0" applyFont="1" applyFill="1" applyBorder="1"/>
    <xf numFmtId="0" fontId="11" fillId="33" borderId="26" xfId="0" applyFont="1" applyFill="1" applyBorder="1"/>
    <xf numFmtId="0" fontId="230" fillId="33" borderId="33" xfId="0" applyFont="1" applyFill="1" applyBorder="1" applyAlignment="1">
      <alignment horizontal="right"/>
    </xf>
    <xf numFmtId="170" fontId="221" fillId="49" borderId="17" xfId="0" applyNumberFormat="1" applyFont="1" applyFill="1" applyBorder="1"/>
    <xf numFmtId="0" fontId="9" fillId="0" borderId="23" xfId="1205" applyFont="1" applyBorder="1" applyAlignment="1">
      <alignment horizontal="center" wrapText="1"/>
    </xf>
    <xf numFmtId="4" fontId="187" fillId="48" borderId="0" xfId="0" applyNumberFormat="1" applyFont="1" applyFill="1"/>
    <xf numFmtId="10" fontId="11" fillId="0" borderId="0" xfId="0" applyNumberFormat="1" applyFont="1"/>
    <xf numFmtId="4" fontId="11" fillId="48" borderId="33" xfId="0" applyNumberFormat="1" applyFont="1" applyFill="1" applyBorder="1" applyAlignment="1">
      <alignment horizontal="center"/>
    </xf>
    <xf numFmtId="4" fontId="11" fillId="48" borderId="30" xfId="0" applyNumberFormat="1" applyFont="1" applyFill="1" applyBorder="1" applyAlignment="1">
      <alignment horizontal="center"/>
    </xf>
    <xf numFmtId="4" fontId="187" fillId="46" borderId="38" xfId="0" applyNumberFormat="1" applyFont="1" applyFill="1" applyBorder="1" applyAlignment="1">
      <alignment horizontal="center"/>
    </xf>
    <xf numFmtId="4" fontId="11" fillId="48" borderId="17" xfId="0" applyNumberFormat="1" applyFont="1" applyFill="1" applyBorder="1" applyAlignment="1">
      <alignment horizontal="center"/>
    </xf>
    <xf numFmtId="4" fontId="11" fillId="46" borderId="46" xfId="0" applyNumberFormat="1" applyFont="1" applyFill="1" applyBorder="1"/>
    <xf numFmtId="4" fontId="187" fillId="48" borderId="17" xfId="0" applyNumberFormat="1" applyFont="1" applyFill="1" applyBorder="1" applyAlignment="1">
      <alignment horizontal="center"/>
    </xf>
    <xf numFmtId="4" fontId="11" fillId="46" borderId="37" xfId="0" applyNumberFormat="1" applyFont="1" applyFill="1" applyBorder="1" applyAlignment="1">
      <alignment horizontal="center"/>
    </xf>
    <xf numFmtId="4" fontId="187" fillId="46" borderId="17" xfId="0" applyNumberFormat="1" applyFont="1" applyFill="1" applyBorder="1" applyAlignment="1">
      <alignment horizontal="center"/>
    </xf>
    <xf numFmtId="4" fontId="11" fillId="46" borderId="22" xfId="0" applyNumberFormat="1" applyFont="1" applyFill="1" applyBorder="1" applyAlignment="1">
      <alignment horizontal="centerContinuous" vertical="center"/>
    </xf>
    <xf numFmtId="4" fontId="51" fillId="46" borderId="17" xfId="0" applyNumberFormat="1" applyFont="1" applyFill="1" applyBorder="1" applyAlignment="1">
      <alignment horizontal="center" vertical="top" wrapText="1"/>
    </xf>
    <xf numFmtId="4" fontId="187" fillId="48" borderId="30" xfId="0" applyNumberFormat="1" applyFont="1" applyFill="1" applyBorder="1" applyAlignment="1">
      <alignment horizontal="center"/>
    </xf>
    <xf numFmtId="171" fontId="11" fillId="46" borderId="33" xfId="0" applyNumberFormat="1" applyFont="1" applyFill="1" applyBorder="1" applyAlignment="1">
      <alignment horizontal="center"/>
    </xf>
    <xf numFmtId="4" fontId="187" fillId="48" borderId="17" xfId="0" applyNumberFormat="1" applyFont="1" applyFill="1" applyBorder="1"/>
    <xf numFmtId="4" fontId="187" fillId="44" borderId="17" xfId="0" applyNumberFormat="1" applyFont="1" applyFill="1" applyBorder="1"/>
    <xf numFmtId="0" fontId="206" fillId="48" borderId="0" xfId="0" applyFont="1" applyFill="1"/>
    <xf numFmtId="0" fontId="232" fillId="48" borderId="0" xfId="1181" applyFont="1" applyFill="1"/>
    <xf numFmtId="168" fontId="233" fillId="48" borderId="0" xfId="1181" applyNumberFormat="1" applyFont="1" applyFill="1" applyAlignment="1">
      <alignment horizontal="right"/>
    </xf>
    <xf numFmtId="170" fontId="206" fillId="48" borderId="17" xfId="0" applyNumberFormat="1" applyFont="1" applyFill="1" applyBorder="1" applyAlignment="1">
      <alignment vertical="center" wrapText="1"/>
    </xf>
    <xf numFmtId="0" fontId="206" fillId="48" borderId="20" xfId="0" applyFont="1" applyFill="1" applyBorder="1"/>
    <xf numFmtId="164" fontId="206" fillId="48" borderId="20" xfId="0" applyNumberFormat="1" applyFont="1" applyFill="1" applyBorder="1"/>
    <xf numFmtId="0" fontId="232" fillId="48" borderId="17" xfId="0" applyFont="1" applyFill="1" applyBorder="1" applyAlignment="1">
      <alignment horizontal="center" vertical="center" wrapText="1"/>
    </xf>
    <xf numFmtId="0" fontId="234" fillId="48" borderId="17" xfId="0" applyFont="1" applyFill="1" applyBorder="1" applyAlignment="1">
      <alignment horizontal="center"/>
    </xf>
    <xf numFmtId="170" fontId="206" fillId="48" borderId="17" xfId="0" applyNumberFormat="1" applyFont="1" applyFill="1" applyBorder="1"/>
    <xf numFmtId="164" fontId="202" fillId="48" borderId="20" xfId="0" applyNumberFormat="1" applyFont="1" applyFill="1" applyBorder="1"/>
    <xf numFmtId="170" fontId="202" fillId="48" borderId="17" xfId="0" applyNumberFormat="1" applyFont="1" applyFill="1" applyBorder="1" applyAlignment="1">
      <alignment vertical="center" wrapText="1"/>
    </xf>
    <xf numFmtId="170" fontId="202" fillId="48" borderId="17" xfId="0" applyNumberFormat="1" applyFont="1" applyFill="1" applyBorder="1"/>
    <xf numFmtId="0" fontId="158" fillId="0" borderId="0" xfId="0" applyFont="1" applyAlignment="1">
      <alignment horizontal="centerContinuous"/>
    </xf>
    <xf numFmtId="0" fontId="159" fillId="46" borderId="0" xfId="0" applyFont="1" applyFill="1"/>
    <xf numFmtId="0" fontId="37" fillId="2" borderId="91" xfId="1194" applyFont="1" applyFill="1" applyBorder="1" applyAlignment="1" applyProtection="1">
      <alignment vertical="center"/>
    </xf>
    <xf numFmtId="0" fontId="159" fillId="46" borderId="0" xfId="1194" applyFont="1" applyFill="1" applyBorder="1" applyAlignment="1" applyProtection="1">
      <alignment horizontal="center" vertical="center"/>
    </xf>
    <xf numFmtId="0" fontId="235" fillId="48" borderId="0" xfId="1194" applyFont="1" applyFill="1" applyBorder="1" applyAlignment="1" applyProtection="1">
      <alignment horizontal="center" vertical="center"/>
    </xf>
    <xf numFmtId="0" fontId="236" fillId="46" borderId="0" xfId="0" applyFont="1" applyFill="1"/>
    <xf numFmtId="49" fontId="160" fillId="0" borderId="92" xfId="1025" applyNumberFormat="1" applyFont="1" applyBorder="1" applyAlignment="1" applyProtection="1">
      <alignment horizontal="center" vertical="center" wrapText="1"/>
    </xf>
    <xf numFmtId="0" fontId="159" fillId="0" borderId="92" xfId="1194" applyFont="1" applyBorder="1" applyAlignment="1" applyProtection="1">
      <alignment horizontal="center" vertical="center" wrapText="1"/>
    </xf>
    <xf numFmtId="0" fontId="159" fillId="44" borderId="92" xfId="0" applyFont="1" applyFill="1" applyBorder="1" applyAlignment="1" applyProtection="1">
      <alignment horizontal="center" vertical="top" wrapText="1"/>
    </xf>
    <xf numFmtId="0" fontId="161" fillId="44" borderId="92" xfId="0" applyFont="1" applyFill="1" applyBorder="1" applyAlignment="1" applyProtection="1">
      <alignment horizontal="center" vertical="top" wrapText="1"/>
    </xf>
    <xf numFmtId="0" fontId="159" fillId="28" borderId="92" xfId="0" applyFont="1" applyFill="1" applyBorder="1" applyAlignment="1" applyProtection="1">
      <alignment horizontal="center" vertical="top" wrapText="1"/>
    </xf>
    <xf numFmtId="0" fontId="190" fillId="46" borderId="93" xfId="0" applyFont="1" applyFill="1" applyBorder="1" applyAlignment="1">
      <alignment horizontal="center"/>
    </xf>
    <xf numFmtId="0" fontId="190" fillId="46" borderId="12" xfId="0" applyFont="1" applyFill="1" applyBorder="1" applyAlignment="1">
      <alignment horizontal="center"/>
    </xf>
    <xf numFmtId="0" fontId="237" fillId="46" borderId="12" xfId="0" applyFont="1" applyFill="1" applyBorder="1" applyAlignment="1">
      <alignment horizontal="center"/>
    </xf>
    <xf numFmtId="0" fontId="190" fillId="46" borderId="0" xfId="0" applyFont="1" applyFill="1" applyAlignment="1">
      <alignment horizontal="center"/>
    </xf>
    <xf numFmtId="49" fontId="159" fillId="46" borderId="94" xfId="1194" applyNumberFormat="1" applyFont="1" applyFill="1" applyBorder="1" applyAlignment="1" applyProtection="1">
      <alignment horizontal="center" vertical="center"/>
    </xf>
    <xf numFmtId="49" fontId="160" fillId="0" borderId="11" xfId="933" applyNumberFormat="1" applyFont="1" applyBorder="1" applyAlignment="1" applyProtection="1">
      <alignment horizontal="left" vertical="center" wrapText="1"/>
    </xf>
    <xf numFmtId="0" fontId="160" fillId="0" borderId="11" xfId="1194" applyFont="1" applyFill="1" applyBorder="1" applyAlignment="1" applyProtection="1">
      <alignment horizontal="center" vertical="center"/>
    </xf>
    <xf numFmtId="10" fontId="104" fillId="46" borderId="11" xfId="0" applyNumberFormat="1" applyFont="1" applyFill="1" applyBorder="1"/>
    <xf numFmtId="10" fontId="160" fillId="28" borderId="11" xfId="1317" applyNumberFormat="1" applyFont="1" applyFill="1" applyBorder="1" applyAlignment="1" applyProtection="1">
      <alignment horizontal="right" vertical="center"/>
      <protection locked="0"/>
    </xf>
    <xf numFmtId="10" fontId="104" fillId="28" borderId="11" xfId="0" applyNumberFormat="1" applyFont="1" applyFill="1" applyBorder="1"/>
    <xf numFmtId="10" fontId="237" fillId="46" borderId="11" xfId="0" applyNumberFormat="1" applyFont="1" applyFill="1" applyBorder="1"/>
    <xf numFmtId="10" fontId="238" fillId="49" borderId="11" xfId="0" applyNumberFormat="1" applyFont="1" applyFill="1" applyBorder="1"/>
    <xf numFmtId="10" fontId="160" fillId="46" borderId="11" xfId="1317" applyNumberFormat="1" applyFont="1" applyFill="1" applyBorder="1" applyAlignment="1" applyProtection="1">
      <alignment horizontal="right" vertical="center"/>
      <protection locked="0"/>
    </xf>
    <xf numFmtId="10" fontId="160" fillId="44" borderId="11" xfId="1317" applyNumberFormat="1" applyFont="1" applyFill="1" applyBorder="1" applyAlignment="1" applyProtection="1">
      <alignment horizontal="right" vertical="center"/>
      <protection locked="0"/>
    </xf>
    <xf numFmtId="10" fontId="104" fillId="44" borderId="11" xfId="0" applyNumberFormat="1" applyFont="1" applyFill="1" applyBorder="1"/>
    <xf numFmtId="3" fontId="160" fillId="46" borderId="11" xfId="1317" applyNumberFormat="1" applyFont="1" applyFill="1" applyBorder="1" applyAlignment="1" applyProtection="1">
      <alignment horizontal="right" vertical="center"/>
      <protection locked="0"/>
    </xf>
    <xf numFmtId="3" fontId="160" fillId="28" borderId="11" xfId="1317" applyNumberFormat="1" applyFont="1" applyFill="1" applyBorder="1" applyAlignment="1" applyProtection="1">
      <alignment horizontal="right" vertical="center"/>
      <protection locked="0"/>
    </xf>
    <xf numFmtId="0" fontId="160" fillId="0" borderId="11" xfId="1194" applyFont="1" applyBorder="1" applyAlignment="1" applyProtection="1">
      <alignment horizontal="left" vertical="center"/>
    </xf>
    <xf numFmtId="0" fontId="160" fillId="0" borderId="11" xfId="1194" applyFont="1" applyBorder="1" applyAlignment="1" applyProtection="1">
      <alignment horizontal="center" vertical="center" wrapText="1"/>
    </xf>
    <xf numFmtId="4" fontId="160" fillId="46" borderId="11" xfId="1317" applyNumberFormat="1" applyFont="1" applyFill="1" applyBorder="1" applyAlignment="1" applyProtection="1">
      <alignment horizontal="right" vertical="center"/>
      <protection locked="0"/>
    </xf>
    <xf numFmtId="4" fontId="160" fillId="44" borderId="11" xfId="1317" applyNumberFormat="1" applyFont="1" applyFill="1" applyBorder="1" applyAlignment="1" applyProtection="1">
      <alignment horizontal="right" vertical="center"/>
      <protection locked="0"/>
    </xf>
    <xf numFmtId="49" fontId="159" fillId="46" borderId="12" xfId="1194" applyNumberFormat="1" applyFont="1" applyFill="1" applyBorder="1" applyAlignment="1" applyProtection="1">
      <alignment horizontal="center" vertical="center"/>
    </xf>
    <xf numFmtId="168" fontId="104" fillId="46" borderId="11" xfId="0" applyNumberFormat="1" applyFont="1" applyFill="1" applyBorder="1"/>
    <xf numFmtId="49" fontId="159" fillId="29" borderId="12" xfId="1194" applyNumberFormat="1" applyFont="1" applyFill="1" applyBorder="1" applyAlignment="1" applyProtection="1">
      <alignment horizontal="center" vertical="center"/>
    </xf>
    <xf numFmtId="0" fontId="160" fillId="29" borderId="11" xfId="1194" applyFont="1" applyFill="1" applyBorder="1" applyAlignment="1" applyProtection="1">
      <alignment horizontal="left" vertical="center" wrapText="1"/>
    </xf>
    <xf numFmtId="0" fontId="160" fillId="29" borderId="11" xfId="1194" applyFont="1" applyFill="1" applyBorder="1" applyAlignment="1" applyProtection="1">
      <alignment horizontal="center" vertical="center" wrapText="1"/>
    </xf>
    <xf numFmtId="4" fontId="160" fillId="29" borderId="11" xfId="1317" applyNumberFormat="1" applyFont="1" applyFill="1" applyBorder="1" applyAlignment="1" applyProtection="1">
      <alignment horizontal="right" vertical="center"/>
      <protection locked="0"/>
    </xf>
    <xf numFmtId="168" fontId="104" fillId="29" borderId="11" xfId="0" applyNumberFormat="1" applyFont="1" applyFill="1" applyBorder="1"/>
    <xf numFmtId="173" fontId="159" fillId="29" borderId="17" xfId="1215" applyNumberFormat="1" applyFont="1" applyFill="1" applyBorder="1" applyAlignment="1">
      <alignment horizontal="right"/>
    </xf>
    <xf numFmtId="168" fontId="237" fillId="48" borderId="11" xfId="0" applyNumberFormat="1" applyFont="1" applyFill="1" applyBorder="1"/>
    <xf numFmtId="0" fontId="142" fillId="46" borderId="0" xfId="0" applyFont="1" applyFill="1" applyBorder="1" applyAlignment="1">
      <alignment horizontal="right" vertical="center" wrapText="1"/>
    </xf>
    <xf numFmtId="0" fontId="142" fillId="2" borderId="91" xfId="1194" applyFont="1" applyFill="1" applyBorder="1" applyAlignment="1" applyProtection="1">
      <alignment vertical="center"/>
    </xf>
    <xf numFmtId="0" fontId="142" fillId="46" borderId="0" xfId="0" applyFont="1" applyFill="1" applyBorder="1" applyAlignment="1">
      <alignment horizontal="center" wrapText="1"/>
    </xf>
    <xf numFmtId="0" fontId="142" fillId="46" borderId="0" xfId="0" applyFont="1" applyFill="1" applyBorder="1" applyAlignment="1">
      <alignment horizontal="center" vertical="top" wrapText="1"/>
    </xf>
    <xf numFmtId="0" fontId="159" fillId="0" borderId="92" xfId="0" applyFont="1" applyFill="1" applyBorder="1" applyAlignment="1" applyProtection="1">
      <alignment horizontal="center" vertical="top" wrapText="1"/>
    </xf>
    <xf numFmtId="0" fontId="235" fillId="46" borderId="0" xfId="0" applyFont="1" applyFill="1"/>
    <xf numFmtId="0" fontId="142" fillId="46" borderId="17" xfId="0" applyFont="1" applyFill="1" applyBorder="1" applyAlignment="1">
      <alignment horizontal="center" vertical="center" wrapText="1"/>
    </xf>
    <xf numFmtId="0" fontId="142" fillId="46" borderId="17" xfId="1178" applyFont="1" applyFill="1" applyBorder="1" applyAlignment="1" applyProtection="1">
      <alignment vertical="center" wrapText="1"/>
    </xf>
    <xf numFmtId="0" fontId="142" fillId="46" borderId="17" xfId="1178" applyFont="1" applyFill="1" applyBorder="1" applyAlignment="1" applyProtection="1">
      <alignment horizontal="center" vertical="center" wrapText="1"/>
    </xf>
    <xf numFmtId="170" fontId="142" fillId="46" borderId="17" xfId="0" applyNumberFormat="1" applyFont="1" applyFill="1" applyBorder="1" applyAlignment="1">
      <alignment vertical="center" wrapText="1"/>
    </xf>
    <xf numFmtId="170" fontId="142" fillId="44" borderId="17" xfId="0" applyNumberFormat="1" applyFont="1" applyFill="1" applyBorder="1" applyAlignment="1">
      <alignment vertical="center" wrapText="1"/>
    </xf>
    <xf numFmtId="0" fontId="159" fillId="46" borderId="17" xfId="0" applyFont="1" applyFill="1" applyBorder="1" applyAlignment="1">
      <alignment horizontal="center" vertical="distributed" wrapText="1"/>
    </xf>
    <xf numFmtId="0" fontId="159" fillId="46" borderId="17" xfId="1178" applyFont="1" applyFill="1" applyBorder="1" applyAlignment="1" applyProtection="1">
      <alignment horizontal="left" vertical="center" wrapText="1" indent="1"/>
    </xf>
    <xf numFmtId="0" fontId="159" fillId="46" borderId="17" xfId="1178" applyFont="1" applyFill="1" applyBorder="1" applyAlignment="1" applyProtection="1">
      <alignment horizontal="center" vertical="center" wrapText="1"/>
    </xf>
    <xf numFmtId="170" fontId="159" fillId="46" borderId="17" xfId="0" applyNumberFormat="1" applyFont="1" applyFill="1" applyBorder="1" applyAlignment="1">
      <alignment vertical="center" wrapText="1"/>
    </xf>
    <xf numFmtId="170" fontId="159" fillId="44" borderId="17" xfId="0" applyNumberFormat="1" applyFont="1" applyFill="1" applyBorder="1" applyAlignment="1">
      <alignment vertical="center" wrapText="1"/>
    </xf>
    <xf numFmtId="170" fontId="235" fillId="44" borderId="17" xfId="0" applyNumberFormat="1" applyFont="1" applyFill="1" applyBorder="1" applyAlignment="1">
      <alignment vertical="center" wrapText="1"/>
    </xf>
    <xf numFmtId="170" fontId="236" fillId="44" borderId="17" xfId="0" applyNumberFormat="1" applyFont="1" applyFill="1" applyBorder="1" applyAlignment="1">
      <alignment vertical="center" wrapText="1"/>
    </xf>
    <xf numFmtId="0" fontId="163" fillId="46" borderId="17" xfId="0" applyFont="1" applyFill="1" applyBorder="1" applyAlignment="1">
      <alignment horizontal="center" vertical="center" wrapText="1"/>
    </xf>
    <xf numFmtId="0" fontId="163" fillId="46" borderId="17" xfId="1178" applyFont="1" applyFill="1" applyBorder="1" applyAlignment="1" applyProtection="1">
      <alignment horizontal="left" vertical="center" wrapText="1" indent="3"/>
    </xf>
    <xf numFmtId="170" fontId="159" fillId="46" borderId="17" xfId="0" applyNumberFormat="1" applyFont="1" applyFill="1" applyBorder="1" applyAlignment="1">
      <alignment wrapText="1"/>
    </xf>
    <xf numFmtId="170" fontId="159" fillId="44" borderId="17" xfId="0" applyNumberFormat="1" applyFont="1" applyFill="1" applyBorder="1" applyAlignment="1">
      <alignment wrapText="1"/>
    </xf>
    <xf numFmtId="3" fontId="163" fillId="46" borderId="17" xfId="1178" applyNumberFormat="1" applyFont="1" applyFill="1" applyBorder="1" applyAlignment="1" applyProtection="1">
      <alignment horizontal="left" vertical="center" wrapText="1" indent="3"/>
    </xf>
    <xf numFmtId="173" fontId="159" fillId="46" borderId="17" xfId="1215" applyNumberFormat="1" applyFont="1" applyFill="1" applyBorder="1" applyAlignment="1">
      <alignment horizontal="right"/>
    </xf>
    <xf numFmtId="173" fontId="159" fillId="44" borderId="17" xfId="1215" applyNumberFormat="1" applyFont="1" applyFill="1" applyBorder="1" applyAlignment="1">
      <alignment horizontal="right"/>
    </xf>
    <xf numFmtId="0" fontId="142" fillId="46" borderId="17" xfId="1178" applyFont="1" applyFill="1" applyBorder="1" applyAlignment="1" applyProtection="1">
      <alignment horizontal="left" vertical="center" wrapText="1" indent="1"/>
    </xf>
    <xf numFmtId="173" fontId="142" fillId="46" borderId="17" xfId="1215" applyNumberFormat="1" applyFont="1" applyFill="1" applyBorder="1" applyAlignment="1">
      <alignment horizontal="right"/>
    </xf>
    <xf numFmtId="170" fontId="142" fillId="46" borderId="17" xfId="0" applyNumberFormat="1" applyFont="1" applyFill="1" applyBorder="1"/>
    <xf numFmtId="170" fontId="142" fillId="44" borderId="17" xfId="0" applyNumberFormat="1" applyFont="1" applyFill="1" applyBorder="1"/>
    <xf numFmtId="170" fontId="159" fillId="44" borderId="17" xfId="0" applyNumberFormat="1" applyFont="1" applyFill="1" applyBorder="1"/>
    <xf numFmtId="0" fontId="142" fillId="46" borderId="17" xfId="0" applyFont="1" applyFill="1" applyBorder="1" applyAlignment="1">
      <alignment vertical="center" wrapText="1"/>
    </xf>
    <xf numFmtId="173" fontId="142" fillId="46" borderId="17" xfId="1215" applyNumberFormat="1" applyFont="1" applyFill="1" applyBorder="1" applyAlignment="1">
      <alignment horizontal="right" vertical="center"/>
    </xf>
    <xf numFmtId="0" fontId="142" fillId="2" borderId="95" xfId="1194" applyFont="1" applyFill="1" applyBorder="1" applyAlignment="1" applyProtection="1">
      <alignment vertical="center"/>
    </xf>
    <xf numFmtId="0" fontId="142" fillId="2" borderId="96" xfId="1194" applyFont="1" applyFill="1" applyBorder="1" applyAlignment="1" applyProtection="1">
      <alignment vertical="center"/>
    </xf>
    <xf numFmtId="0" fontId="142" fillId="46" borderId="17" xfId="1025" applyFont="1" applyFill="1" applyBorder="1" applyAlignment="1" applyProtection="1">
      <alignment horizontal="left" vertical="center" wrapText="1"/>
    </xf>
    <xf numFmtId="173" fontId="142" fillId="44" borderId="17" xfId="1215" applyNumberFormat="1" applyFont="1" applyFill="1" applyBorder="1" applyAlignment="1">
      <alignment horizontal="right"/>
    </xf>
    <xf numFmtId="170" fontId="235" fillId="46" borderId="17" xfId="0" applyNumberFormat="1" applyFont="1" applyFill="1" applyBorder="1" applyAlignment="1">
      <alignment horizontal="right" wrapText="1"/>
    </xf>
    <xf numFmtId="170" fontId="235" fillId="28" borderId="17" xfId="0" applyNumberFormat="1" applyFont="1" applyFill="1" applyBorder="1" applyAlignment="1">
      <alignment wrapText="1"/>
    </xf>
    <xf numFmtId="164" fontId="159" fillId="46" borderId="0" xfId="0" applyNumberFormat="1" applyFont="1" applyFill="1"/>
    <xf numFmtId="0" fontId="142" fillId="46" borderId="17" xfId="1178" applyFont="1" applyFill="1" applyBorder="1" applyAlignment="1" applyProtection="1">
      <alignment vertical="top" wrapText="1"/>
    </xf>
    <xf numFmtId="170" fontId="159" fillId="46" borderId="17" xfId="0" applyNumberFormat="1" applyFont="1" applyFill="1" applyBorder="1"/>
    <xf numFmtId="173" fontId="235" fillId="28" borderId="17" xfId="1215" applyNumberFormat="1" applyFont="1" applyFill="1" applyBorder="1" applyAlignment="1">
      <alignment horizontal="right"/>
    </xf>
    <xf numFmtId="170" fontId="235" fillId="46" borderId="17" xfId="0" applyNumberFormat="1" applyFont="1" applyFill="1" applyBorder="1"/>
    <xf numFmtId="170" fontId="239" fillId="49" borderId="17" xfId="0" applyNumberFormat="1" applyFont="1" applyFill="1" applyBorder="1"/>
    <xf numFmtId="0" fontId="142" fillId="2" borderId="97" xfId="1194" applyFont="1" applyFill="1" applyBorder="1" applyAlignment="1" applyProtection="1">
      <alignment horizontal="left" vertical="center"/>
    </xf>
    <xf numFmtId="0" fontId="142" fillId="2" borderId="98" xfId="1194" applyFont="1" applyFill="1" applyBorder="1" applyAlignment="1" applyProtection="1">
      <alignment horizontal="left" vertical="center"/>
    </xf>
    <xf numFmtId="0" fontId="142" fillId="2" borderId="99" xfId="1194" applyFont="1" applyFill="1" applyBorder="1" applyAlignment="1" applyProtection="1">
      <alignment horizontal="left" vertical="center"/>
    </xf>
    <xf numFmtId="0" fontId="142" fillId="2" borderId="100" xfId="1194" applyFont="1" applyFill="1" applyBorder="1" applyAlignment="1" applyProtection="1">
      <alignment horizontal="left" vertical="center"/>
    </xf>
    <xf numFmtId="168" fontId="237" fillId="48" borderId="11" xfId="0" applyNumberFormat="1" applyFont="1" applyFill="1" applyBorder="1" applyAlignment="1">
      <alignment vertical="center" wrapText="1"/>
    </xf>
    <xf numFmtId="164" fontId="237" fillId="48" borderId="11" xfId="0" applyNumberFormat="1" applyFont="1" applyFill="1" applyBorder="1"/>
    <xf numFmtId="0" fontId="142" fillId="2" borderId="101" xfId="1194" applyFont="1" applyFill="1" applyBorder="1" applyAlignment="1" applyProtection="1">
      <alignment horizontal="left" vertical="center"/>
    </xf>
    <xf numFmtId="0" fontId="159" fillId="46" borderId="0" xfId="0" applyFont="1" applyFill="1" applyBorder="1" applyAlignment="1">
      <alignment vertical="center" wrapText="1"/>
    </xf>
    <xf numFmtId="0" fontId="142" fillId="46" borderId="0" xfId="0" applyFont="1" applyFill="1" applyBorder="1" applyAlignment="1">
      <alignment horizontal="left" vertical="center" wrapText="1"/>
    </xf>
    <xf numFmtId="0" fontId="142" fillId="46" borderId="0" xfId="0" applyFont="1" applyFill="1" applyBorder="1" applyAlignment="1">
      <alignment horizontal="center" vertical="center" wrapText="1"/>
    </xf>
    <xf numFmtId="0" fontId="49" fillId="0" borderId="0" xfId="1205" applyFont="1"/>
    <xf numFmtId="4" fontId="8" fillId="44" borderId="17" xfId="1205" applyNumberFormat="1" applyFont="1" applyFill="1" applyBorder="1" applyAlignment="1">
      <alignment horizontal="center" wrapText="1"/>
    </xf>
    <xf numFmtId="3" fontId="9" fillId="44" borderId="17" xfId="1205" applyNumberFormat="1" applyFont="1" applyFill="1" applyBorder="1" applyAlignment="1">
      <alignment horizontal="center" wrapText="1"/>
    </xf>
    <xf numFmtId="0" fontId="11" fillId="44" borderId="0" xfId="1205" applyFont="1" applyFill="1"/>
    <xf numFmtId="0" fontId="273" fillId="48" borderId="0" xfId="1205" applyFill="1"/>
    <xf numFmtId="4" fontId="9" fillId="48" borderId="17" xfId="1205" applyNumberFormat="1" applyFont="1" applyFill="1" applyBorder="1" applyAlignment="1">
      <alignment horizontal="center" wrapText="1"/>
    </xf>
    <xf numFmtId="3" fontId="71" fillId="49" borderId="17" xfId="1205" applyNumberFormat="1" applyFont="1" applyFill="1" applyBorder="1" applyAlignment="1">
      <alignment horizontal="center" wrapText="1"/>
    </xf>
    <xf numFmtId="0" fontId="159" fillId="46" borderId="0" xfId="1181" applyFont="1" applyFill="1" applyAlignment="1"/>
    <xf numFmtId="168" fontId="159" fillId="46" borderId="0" xfId="1181" applyNumberFormat="1" applyFont="1" applyFill="1"/>
    <xf numFmtId="0" fontId="159" fillId="46" borderId="0" xfId="1181" applyFont="1" applyFill="1"/>
    <xf numFmtId="0" fontId="240" fillId="48" borderId="0" xfId="1181" applyFont="1" applyFill="1"/>
    <xf numFmtId="0" fontId="159" fillId="0" borderId="0" xfId="1181" applyFont="1"/>
    <xf numFmtId="168" fontId="159" fillId="46" borderId="0" xfId="1181" applyNumberFormat="1" applyFont="1" applyFill="1" applyAlignment="1">
      <alignment horizontal="right"/>
    </xf>
    <xf numFmtId="168" fontId="240" fillId="48" borderId="0" xfId="1181" applyNumberFormat="1" applyFont="1" applyFill="1" applyAlignment="1">
      <alignment horizontal="right"/>
    </xf>
    <xf numFmtId="170" fontId="235" fillId="44" borderId="17" xfId="0" applyNumberFormat="1" applyFont="1" applyFill="1" applyBorder="1"/>
    <xf numFmtId="3" fontId="235" fillId="44" borderId="11" xfId="1317" applyNumberFormat="1" applyFont="1" applyFill="1" applyBorder="1" applyAlignment="1" applyProtection="1">
      <alignment horizontal="right" vertical="center"/>
      <protection locked="0"/>
    </xf>
    <xf numFmtId="168" fontId="237" fillId="29" borderId="11" xfId="0" applyNumberFormat="1" applyFont="1" applyFill="1" applyBorder="1"/>
    <xf numFmtId="173" fontId="241" fillId="44" borderId="17" xfId="1215" applyNumberFormat="1" applyFont="1" applyFill="1" applyBorder="1" applyAlignment="1">
      <alignment horizontal="right" wrapText="1"/>
    </xf>
    <xf numFmtId="170" fontId="235" fillId="46" borderId="17" xfId="0" applyNumberFormat="1" applyFont="1" applyFill="1" applyBorder="1" applyAlignment="1">
      <alignment vertical="center" wrapText="1"/>
    </xf>
    <xf numFmtId="10" fontId="9" fillId="0" borderId="0" xfId="0" applyNumberFormat="1" applyFont="1"/>
    <xf numFmtId="0" fontId="158" fillId="46" borderId="0" xfId="0" applyFont="1" applyFill="1" applyAlignment="1">
      <alignment horizontal="centerContinuous"/>
    </xf>
    <xf numFmtId="170" fontId="235" fillId="49" borderId="17" xfId="0" applyNumberFormat="1" applyFont="1" applyFill="1" applyBorder="1"/>
    <xf numFmtId="10" fontId="159" fillId="46" borderId="0" xfId="0" applyNumberFormat="1" applyFont="1" applyFill="1"/>
    <xf numFmtId="0" fontId="0" fillId="0" borderId="20" xfId="0" applyBorder="1" applyAlignment="1">
      <alignment horizontal="center" vertical="center" wrapText="1"/>
    </xf>
    <xf numFmtId="0" fontId="11" fillId="0" borderId="17" xfId="0" applyFont="1" applyBorder="1"/>
    <xf numFmtId="0" fontId="49" fillId="0" borderId="0" xfId="0" applyFont="1" applyAlignment="1">
      <alignment horizontal="centerContinuous" wrapText="1"/>
    </xf>
    <xf numFmtId="0" fontId="82" fillId="0" borderId="17" xfId="0" applyFont="1" applyBorder="1"/>
    <xf numFmtId="170" fontId="11" fillId="0" borderId="17" xfId="0" applyNumberFormat="1" applyFont="1" applyBorder="1"/>
    <xf numFmtId="0" fontId="0" fillId="0" borderId="17" xfId="0" applyBorder="1"/>
    <xf numFmtId="0" fontId="46" fillId="0" borderId="0" xfId="0" applyFont="1" applyAlignment="1">
      <alignment horizontal="centerContinuous"/>
    </xf>
    <xf numFmtId="0" fontId="0" fillId="0" borderId="17" xfId="0" applyBorder="1" applyAlignment="1">
      <alignment horizontal="right"/>
    </xf>
    <xf numFmtId="0" fontId="49" fillId="28" borderId="17" xfId="0" applyFont="1" applyFill="1" applyBorder="1" applyAlignment="1">
      <alignment horizontal="right" vertical="center"/>
    </xf>
    <xf numFmtId="3" fontId="73" fillId="0" borderId="0" xfId="0" applyNumberFormat="1" applyFont="1" applyAlignment="1">
      <alignment horizontal="center" wrapText="1"/>
    </xf>
    <xf numFmtId="0" fontId="90" fillId="0" borderId="0" xfId="0" applyFont="1"/>
    <xf numFmtId="0" fontId="73" fillId="0" borderId="0" xfId="0" applyFont="1" applyAlignment="1">
      <alignment horizontal="center" wrapText="1"/>
    </xf>
    <xf numFmtId="0" fontId="90" fillId="0" borderId="17" xfId="0" applyFont="1" applyBorder="1" applyAlignment="1">
      <alignment horizontal="center" vertical="top" wrapText="1"/>
    </xf>
    <xf numFmtId="0" fontId="51" fillId="46" borderId="17" xfId="0" applyFont="1" applyFill="1" applyBorder="1" applyAlignment="1">
      <alignment horizontal="left" wrapText="1"/>
    </xf>
    <xf numFmtId="4" fontId="51" fillId="46" borderId="17" xfId="0" applyNumberFormat="1" applyFont="1" applyFill="1" applyBorder="1" applyAlignment="1">
      <alignment horizontal="right"/>
    </xf>
    <xf numFmtId="2" fontId="51" fillId="0" borderId="0" xfId="0" applyNumberFormat="1" applyFont="1"/>
    <xf numFmtId="4" fontId="73" fillId="0" borderId="0" xfId="0" applyNumberFormat="1" applyFont="1" applyAlignment="1">
      <alignment horizontal="center" wrapText="1"/>
    </xf>
    <xf numFmtId="4" fontId="90" fillId="0" borderId="0" xfId="0" applyNumberFormat="1" applyFont="1" applyAlignment="1">
      <alignment horizontal="center" wrapText="1"/>
    </xf>
    <xf numFmtId="0" fontId="13" fillId="46" borderId="17" xfId="0" applyFont="1" applyFill="1" applyBorder="1" applyAlignment="1">
      <alignment horizontal="left" wrapText="1"/>
    </xf>
    <xf numFmtId="4" fontId="13" fillId="46" borderId="17" xfId="0" applyNumberFormat="1" applyFont="1" applyFill="1" applyBorder="1" applyAlignment="1">
      <alignment horizontal="right"/>
    </xf>
    <xf numFmtId="4" fontId="13" fillId="46" borderId="17" xfId="0" applyNumberFormat="1" applyFont="1" applyFill="1" applyBorder="1"/>
    <xf numFmtId="0" fontId="13" fillId="0" borderId="0" xfId="0" applyFont="1"/>
    <xf numFmtId="4" fontId="222" fillId="0" borderId="0" xfId="0" applyNumberFormat="1" applyFont="1" applyAlignment="1">
      <alignment horizontal="center" wrapText="1"/>
    </xf>
    <xf numFmtId="0" fontId="222" fillId="0" borderId="0" xfId="0" applyFont="1"/>
    <xf numFmtId="2" fontId="73" fillId="0" borderId="0" xfId="0" applyNumberFormat="1" applyFont="1"/>
    <xf numFmtId="0" fontId="13" fillId="46" borderId="17" xfId="0" applyFont="1" applyFill="1" applyBorder="1" applyAlignment="1">
      <alignment wrapText="1"/>
    </xf>
    <xf numFmtId="194" fontId="13" fillId="46" borderId="17" xfId="1215" applyNumberFormat="1" applyFont="1" applyFill="1" applyBorder="1" applyAlignment="1">
      <alignment horizontal="right" wrapText="1"/>
    </xf>
    <xf numFmtId="173" fontId="13" fillId="46" borderId="17" xfId="1215" applyNumberFormat="1" applyFont="1" applyFill="1" applyBorder="1" applyAlignment="1">
      <alignment horizontal="right" wrapText="1"/>
    </xf>
    <xf numFmtId="0" fontId="13" fillId="46" borderId="17" xfId="0" applyFont="1" applyFill="1" applyBorder="1"/>
    <xf numFmtId="4" fontId="13" fillId="0" borderId="0" xfId="0" applyNumberFormat="1" applyFont="1" applyAlignment="1">
      <alignment horizontal="center" wrapText="1"/>
    </xf>
    <xf numFmtId="3" fontId="13" fillId="0" borderId="0" xfId="0" applyNumberFormat="1" applyFont="1" applyAlignment="1">
      <alignment horizontal="center" wrapText="1"/>
    </xf>
    <xf numFmtId="2" fontId="49" fillId="0" borderId="0" xfId="0" applyNumberFormat="1" applyFont="1" applyBorder="1"/>
    <xf numFmtId="3" fontId="8" fillId="0" borderId="0" xfId="0" applyNumberFormat="1" applyFont="1" applyAlignment="1">
      <alignment horizontal="center" wrapText="1"/>
    </xf>
    <xf numFmtId="0" fontId="89" fillId="0" borderId="0" xfId="0" applyFont="1"/>
    <xf numFmtId="0" fontId="8" fillId="0" borderId="0" xfId="0" applyFont="1" applyAlignment="1">
      <alignment horizontal="center" wrapText="1"/>
    </xf>
    <xf numFmtId="2" fontId="8" fillId="0" borderId="0" xfId="0" applyNumberFormat="1" applyFont="1" applyAlignment="1">
      <alignment horizontal="center" wrapText="1"/>
    </xf>
    <xf numFmtId="0" fontId="51" fillId="0" borderId="17" xfId="0" applyFont="1" applyBorder="1"/>
    <xf numFmtId="4" fontId="51" fillId="0" borderId="17" xfId="0" applyNumberFormat="1" applyFont="1" applyBorder="1"/>
    <xf numFmtId="10" fontId="0" fillId="0" borderId="0" xfId="0" applyNumberFormat="1"/>
    <xf numFmtId="167" fontId="104" fillId="46" borderId="11" xfId="0" applyNumberFormat="1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171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24" xfId="0" applyBorder="1" applyAlignment="1">
      <alignment horizontal="left" wrapText="1"/>
    </xf>
    <xf numFmtId="0" fontId="131" fillId="0" borderId="24" xfId="0" applyFont="1" applyBorder="1" applyAlignment="1">
      <alignment horizontal="center" wrapText="1"/>
    </xf>
    <xf numFmtId="0" fontId="0" fillId="0" borderId="24" xfId="0" applyBorder="1" applyAlignment="1">
      <alignment horizontal="right" wrapText="1"/>
    </xf>
    <xf numFmtId="0" fontId="111" fillId="46" borderId="17" xfId="1213" applyFont="1" applyFill="1" applyBorder="1" applyAlignment="1" applyProtection="1">
      <alignment horizontal="left" vertical="center" wrapText="1"/>
    </xf>
    <xf numFmtId="0" fontId="270" fillId="0" borderId="0" xfId="0" applyFont="1" applyAlignment="1">
      <alignment horizontal="center" vertical="top" wrapText="1"/>
    </xf>
    <xf numFmtId="0" fontId="20" fillId="0" borderId="17" xfId="0" applyFont="1" applyBorder="1" applyAlignment="1">
      <alignment horizontal="center" wrapText="1"/>
    </xf>
    <xf numFmtId="0" fontId="130" fillId="0" borderId="17" xfId="0" applyFont="1" applyBorder="1" applyAlignment="1">
      <alignment horizontal="left" vertical="center" wrapText="1"/>
    </xf>
    <xf numFmtId="0" fontId="130" fillId="0" borderId="17" xfId="0" applyFont="1" applyBorder="1" applyAlignment="1">
      <alignment vertical="center" wrapText="1"/>
    </xf>
    <xf numFmtId="0" fontId="110" fillId="0" borderId="17" xfId="1178" applyFont="1" applyFill="1" applyBorder="1" applyAlignment="1" applyProtection="1">
      <alignment horizontal="center" vertical="center" wrapText="1"/>
    </xf>
    <xf numFmtId="0" fontId="66" fillId="48" borderId="17" xfId="0" applyFont="1" applyFill="1" applyBorder="1" applyAlignment="1">
      <alignment vertical="center" wrapText="1"/>
    </xf>
    <xf numFmtId="0" fontId="134" fillId="0" borderId="17" xfId="1178" applyFont="1" applyFill="1" applyBorder="1" applyAlignment="1" applyProtection="1">
      <alignment horizontal="center" vertical="center" wrapText="1"/>
    </xf>
    <xf numFmtId="0" fontId="66" fillId="0" borderId="17" xfId="0" applyFont="1" applyBorder="1" applyAlignment="1">
      <alignment horizontal="left" vertical="center" wrapText="1"/>
    </xf>
    <xf numFmtId="0" fontId="110" fillId="0" borderId="17" xfId="1178" applyFont="1" applyFill="1" applyBorder="1" applyAlignment="1" applyProtection="1">
      <alignment vertical="center" wrapText="1"/>
    </xf>
    <xf numFmtId="0" fontId="0" fillId="0" borderId="17" xfId="0" applyFont="1" applyBorder="1" applyAlignment="1">
      <alignment horizontal="right" vertical="distributed" wrapText="1"/>
    </xf>
    <xf numFmtId="0" fontId="111" fillId="0" borderId="17" xfId="1178" applyFont="1" applyFill="1" applyBorder="1" applyAlignment="1" applyProtection="1">
      <alignment horizontal="left" vertical="center" wrapText="1"/>
    </xf>
    <xf numFmtId="0" fontId="111" fillId="0" borderId="17" xfId="1178" applyFont="1" applyFill="1" applyBorder="1" applyAlignment="1" applyProtection="1">
      <alignment horizontal="center" vertical="center" wrapText="1"/>
    </xf>
    <xf numFmtId="0" fontId="0" fillId="48" borderId="17" xfId="0" applyFont="1" applyFill="1" applyBorder="1" applyAlignment="1">
      <alignment vertical="center" wrapText="1"/>
    </xf>
    <xf numFmtId="0" fontId="131" fillId="0" borderId="17" xfId="0" applyFont="1" applyBorder="1" applyAlignment="1">
      <alignment horizontal="right" vertical="center" wrapText="1"/>
    </xf>
    <xf numFmtId="0" fontId="135" fillId="0" borderId="17" xfId="1178" applyFont="1" applyFill="1" applyBorder="1" applyAlignment="1" applyProtection="1">
      <alignment horizontal="left" vertical="center" wrapText="1"/>
    </xf>
    <xf numFmtId="0" fontId="0" fillId="48" borderId="17" xfId="0" applyFont="1" applyFill="1" applyBorder="1" applyAlignment="1">
      <alignment horizontal="right" vertical="center" wrapText="1"/>
    </xf>
    <xf numFmtId="3" fontId="135" fillId="0" borderId="17" xfId="1178" applyNumberFormat="1" applyFont="1" applyFill="1" applyBorder="1" applyAlignment="1" applyProtection="1">
      <alignment horizontal="left" vertical="center" wrapText="1"/>
    </xf>
    <xf numFmtId="0" fontId="110" fillId="0" borderId="17" xfId="1178" applyFont="1" applyFill="1" applyBorder="1" applyAlignment="1" applyProtection="1">
      <alignment horizontal="left" vertical="center" wrapText="1"/>
    </xf>
    <xf numFmtId="0" fontId="66" fillId="48" borderId="17" xfId="0" applyFont="1" applyFill="1" applyBorder="1" applyAlignment="1">
      <alignment wrapText="1"/>
    </xf>
    <xf numFmtId="0" fontId="0" fillId="0" borderId="17" xfId="0" applyFont="1" applyBorder="1" applyAlignment="1">
      <alignment wrapText="1"/>
    </xf>
    <xf numFmtId="0" fontId="110" fillId="0" borderId="17" xfId="1025" applyFont="1" applyFill="1" applyBorder="1" applyAlignment="1" applyProtection="1">
      <alignment horizontal="left" vertical="center" wrapText="1"/>
    </xf>
    <xf numFmtId="0" fontId="110" fillId="0" borderId="17" xfId="1178" applyFont="1" applyFill="1" applyBorder="1" applyAlignment="1" applyProtection="1">
      <alignment vertical="top" wrapText="1"/>
    </xf>
    <xf numFmtId="0" fontId="271" fillId="0" borderId="17" xfId="1211" applyFont="1" applyFill="1" applyBorder="1" applyAlignment="1">
      <alignment horizontal="left" vertical="center" wrapText="1"/>
    </xf>
    <xf numFmtId="0" fontId="0" fillId="0" borderId="17" xfId="0" applyFont="1" applyBorder="1" applyAlignment="1">
      <alignment horizontal="center" wrapText="1"/>
    </xf>
    <xf numFmtId="0" fontId="0" fillId="0" borderId="17" xfId="0" applyFont="1" applyBorder="1" applyAlignment="1">
      <alignment vertical="center" wrapText="1"/>
    </xf>
    <xf numFmtId="0" fontId="272" fillId="0" borderId="17" xfId="0" applyFont="1" applyBorder="1" applyAlignment="1">
      <alignment horizontal="left" wrapText="1"/>
    </xf>
    <xf numFmtId="0" fontId="66" fillId="0" borderId="17" xfId="0" applyFont="1" applyFill="1" applyBorder="1" applyAlignment="1">
      <alignment horizontal="left" vertical="center" wrapText="1"/>
    </xf>
    <xf numFmtId="0" fontId="0" fillId="0" borderId="17" xfId="0" applyFont="1" applyBorder="1" applyAlignment="1">
      <alignment horizontal="center" vertical="center" wrapText="1"/>
    </xf>
    <xf numFmtId="0" fontId="66" fillId="0" borderId="17" xfId="0" applyFont="1" applyBorder="1" applyAlignment="1">
      <alignment horizontal="center" vertical="center" wrapText="1"/>
    </xf>
    <xf numFmtId="0" fontId="272" fillId="0" borderId="17" xfId="0" applyFont="1" applyBorder="1" applyAlignment="1">
      <alignment wrapText="1"/>
    </xf>
    <xf numFmtId="0" fontId="110" fillId="46" borderId="17" xfId="1213" applyFont="1" applyFill="1" applyBorder="1" applyAlignment="1" applyProtection="1">
      <alignment horizontal="left" vertical="center" wrapText="1"/>
    </xf>
    <xf numFmtId="0" fontId="0" fillId="0" borderId="17" xfId="0" applyFont="1" applyBorder="1" applyAlignment="1">
      <alignment horizontal="left" wrapText="1"/>
    </xf>
    <xf numFmtId="0" fontId="0" fillId="48" borderId="17" xfId="0" applyFont="1" applyFill="1" applyBorder="1" applyAlignment="1">
      <alignment wrapText="1"/>
    </xf>
    <xf numFmtId="0" fontId="66" fillId="0" borderId="17" xfId="0" applyFont="1" applyBorder="1" applyAlignment="1">
      <alignment horizontal="center" vertical="top" wrapText="1"/>
    </xf>
    <xf numFmtId="0" fontId="142" fillId="46" borderId="0" xfId="0" applyFont="1" applyFill="1"/>
    <xf numFmtId="0" fontId="159" fillId="48" borderId="0" xfId="0" applyFont="1" applyFill="1"/>
    <xf numFmtId="0" fontId="49" fillId="0" borderId="0" xfId="1181" applyFont="1"/>
    <xf numFmtId="0" fontId="11" fillId="0" borderId="0" xfId="1176" applyFont="1"/>
    <xf numFmtId="0" fontId="11" fillId="0" borderId="0" xfId="1176" applyFont="1" applyAlignment="1">
      <alignment horizontal="justify"/>
    </xf>
    <xf numFmtId="0" fontId="11" fillId="0" borderId="0" xfId="1176" applyFont="1" applyAlignment="1">
      <alignment horizontal="center"/>
    </xf>
    <xf numFmtId="0" fontId="159" fillId="0" borderId="0" xfId="0" applyFont="1"/>
    <xf numFmtId="0" fontId="159" fillId="0" borderId="0" xfId="0" applyFont="1" applyAlignment="1">
      <alignment horizontal="right"/>
    </xf>
    <xf numFmtId="0" fontId="159" fillId="0" borderId="0" xfId="0" applyFont="1" applyAlignment="1">
      <alignment horizontal="justify"/>
    </xf>
    <xf numFmtId="0" fontId="159" fillId="0" borderId="0" xfId="0" applyFont="1" applyAlignment="1">
      <alignment horizontal="center"/>
    </xf>
    <xf numFmtId="0" fontId="159" fillId="0" borderId="17" xfId="0" applyNumberFormat="1" applyFont="1" applyBorder="1" applyAlignment="1">
      <alignment horizontal="center" vertical="center" wrapText="1"/>
    </xf>
    <xf numFmtId="0" fontId="159" fillId="0" borderId="17" xfId="0" applyNumberFormat="1" applyFont="1" applyFill="1" applyBorder="1" applyAlignment="1">
      <alignment horizontal="center" vertical="center" wrapText="1"/>
    </xf>
    <xf numFmtId="0" fontId="159" fillId="0" borderId="17" xfId="0" applyNumberFormat="1" applyFont="1" applyBorder="1" applyAlignment="1">
      <alignment horizontal="center" wrapText="1"/>
    </xf>
    <xf numFmtId="0" fontId="159" fillId="0" borderId="17" xfId="0" applyNumberFormat="1" applyFont="1" applyBorder="1" applyAlignment="1">
      <alignment horizontal="center"/>
    </xf>
    <xf numFmtId="0" fontId="159" fillId="0" borderId="17" xfId="0" applyNumberFormat="1" applyFont="1" applyFill="1" applyBorder="1" applyAlignment="1">
      <alignment horizontal="center" wrapText="1"/>
    </xf>
    <xf numFmtId="0" fontId="159" fillId="0" borderId="17" xfId="0" applyNumberFormat="1" applyFont="1" applyFill="1" applyBorder="1" applyAlignment="1">
      <alignment horizontal="center"/>
    </xf>
    <xf numFmtId="0" fontId="159" fillId="0" borderId="17" xfId="0" applyFont="1" applyBorder="1" applyAlignment="1">
      <alignment horizontal="center"/>
    </xf>
    <xf numFmtId="0" fontId="159" fillId="0" borderId="17" xfId="0" applyFont="1" applyBorder="1" applyAlignment="1">
      <alignment horizontal="justify"/>
    </xf>
    <xf numFmtId="0" fontId="159" fillId="0" borderId="17" xfId="0" applyFont="1" applyBorder="1" applyAlignment="1">
      <alignment wrapText="1"/>
    </xf>
    <xf numFmtId="0" fontId="159" fillId="0" borderId="17" xfId="0" applyNumberFormat="1" applyFont="1" applyBorder="1" applyAlignment="1">
      <alignment wrapText="1"/>
    </xf>
    <xf numFmtId="0" fontId="159" fillId="0" borderId="17" xfId="0" applyNumberFormat="1" applyFont="1" applyBorder="1" applyAlignment="1"/>
    <xf numFmtId="0" fontId="159" fillId="0" borderId="17" xfId="0" applyNumberFormat="1" applyFont="1" applyFill="1" applyBorder="1" applyAlignment="1">
      <alignment wrapText="1"/>
    </xf>
    <xf numFmtId="0" fontId="159" fillId="0" borderId="17" xfId="0" applyNumberFormat="1" applyFont="1" applyFill="1" applyBorder="1" applyAlignment="1"/>
    <xf numFmtId="0" fontId="159" fillId="0" borderId="17" xfId="0" applyFont="1" applyBorder="1"/>
    <xf numFmtId="0" fontId="159" fillId="0" borderId="17" xfId="0" applyFont="1" applyBorder="1" applyAlignment="1">
      <alignment horizontal="left" wrapText="1"/>
    </xf>
    <xf numFmtId="169" fontId="159" fillId="0" borderId="17" xfId="0" applyNumberFormat="1" applyFont="1" applyBorder="1" applyAlignment="1">
      <alignment horizontal="center"/>
    </xf>
    <xf numFmtId="4" fontId="159" fillId="0" borderId="17" xfId="0" applyNumberFormat="1" applyFont="1" applyBorder="1" applyAlignment="1">
      <alignment horizontal="center"/>
    </xf>
    <xf numFmtId="169" fontId="159" fillId="0" borderId="17" xfId="0" applyNumberFormat="1" applyFont="1" applyFill="1" applyBorder="1" applyAlignment="1">
      <alignment horizontal="center"/>
    </xf>
    <xf numFmtId="4" fontId="160" fillId="0" borderId="17" xfId="1210" applyNumberFormat="1" applyFont="1" applyFill="1" applyBorder="1" applyAlignment="1">
      <alignment horizontal="center"/>
    </xf>
    <xf numFmtId="169" fontId="160" fillId="0" borderId="17" xfId="1210" applyNumberFormat="1" applyFont="1" applyFill="1" applyBorder="1" applyAlignment="1">
      <alignment horizontal="center"/>
    </xf>
    <xf numFmtId="4" fontId="159" fillId="0" borderId="17" xfId="0" applyNumberFormat="1" applyFont="1" applyFill="1" applyBorder="1" applyAlignment="1">
      <alignment horizontal="center"/>
    </xf>
    <xf numFmtId="170" fontId="159" fillId="0" borderId="17" xfId="0" applyNumberFormat="1" applyFont="1" applyFill="1" applyBorder="1" applyAlignment="1">
      <alignment horizontal="center"/>
    </xf>
    <xf numFmtId="0" fontId="138" fillId="53" borderId="0" xfId="1183" applyFont="1" applyFill="1" applyAlignment="1">
      <alignment vertical="center" wrapText="1"/>
    </xf>
    <xf numFmtId="0" fontId="18" fillId="53" borderId="0" xfId="1183" applyFont="1" applyFill="1"/>
    <xf numFmtId="0" fontId="138" fillId="53" borderId="0" xfId="1183" applyFont="1" applyFill="1" applyAlignment="1">
      <alignment horizontal="center" wrapText="1"/>
    </xf>
    <xf numFmtId="0" fontId="140" fillId="53" borderId="0" xfId="1183" applyFont="1" applyFill="1" applyBorder="1" applyAlignment="1">
      <alignment vertical="center" wrapText="1"/>
    </xf>
    <xf numFmtId="0" fontId="139" fillId="53" borderId="67" xfId="1183" applyFont="1" applyFill="1" applyBorder="1" applyAlignment="1">
      <alignment horizontal="center" vertical="center"/>
    </xf>
    <xf numFmtId="0" fontId="139" fillId="53" borderId="80" xfId="1183" applyFont="1" applyFill="1" applyBorder="1" applyAlignment="1">
      <alignment horizontal="center" vertical="center"/>
    </xf>
    <xf numFmtId="0" fontId="141" fillId="53" borderId="0" xfId="1183" applyFont="1" applyFill="1" applyBorder="1" applyAlignment="1">
      <alignment vertical="center"/>
    </xf>
    <xf numFmtId="0" fontId="18" fillId="53" borderId="0" xfId="1183" applyFont="1" applyFill="1" applyBorder="1"/>
    <xf numFmtId="0" fontId="139" fillId="53" borderId="81" xfId="1183" applyFont="1" applyFill="1" applyBorder="1" applyAlignment="1">
      <alignment vertical="center" wrapText="1"/>
    </xf>
    <xf numFmtId="169" fontId="139" fillId="53" borderId="84" xfId="1183" applyNumberFormat="1" applyFont="1" applyFill="1" applyBorder="1" applyAlignment="1">
      <alignment wrapText="1"/>
    </xf>
    <xf numFmtId="169" fontId="139" fillId="53" borderId="84" xfId="1183" applyNumberFormat="1" applyFont="1" applyFill="1" applyBorder="1" applyAlignment="1"/>
    <xf numFmtId="169" fontId="141" fillId="53" borderId="84" xfId="1183" applyNumberFormat="1" applyFont="1" applyFill="1" applyBorder="1" applyAlignment="1">
      <alignment vertical="center"/>
    </xf>
    <xf numFmtId="169" fontId="139" fillId="53" borderId="86" xfId="1183" applyNumberFormat="1" applyFont="1" applyFill="1" applyBorder="1" applyAlignment="1"/>
    <xf numFmtId="0" fontId="18" fillId="54" borderId="0" xfId="1183" applyFont="1" applyFill="1"/>
    <xf numFmtId="0" fontId="139" fillId="53" borderId="88" xfId="1183" applyFont="1" applyFill="1" applyBorder="1" applyAlignment="1">
      <alignment vertical="center" wrapText="1"/>
    </xf>
    <xf numFmtId="166" fontId="139" fillId="53" borderId="85" xfId="1183" applyNumberFormat="1" applyFont="1" applyFill="1" applyBorder="1" applyAlignment="1">
      <alignment wrapText="1"/>
    </xf>
    <xf numFmtId="0" fontId="139" fillId="53" borderId="83" xfId="1183" applyFont="1" applyFill="1" applyBorder="1" applyAlignment="1">
      <alignment vertical="center" wrapText="1"/>
    </xf>
    <xf numFmtId="169" fontId="139" fillId="53" borderId="78" xfId="1183" applyNumberFormat="1" applyFont="1" applyFill="1" applyBorder="1" applyAlignment="1">
      <alignment wrapText="1"/>
    </xf>
    <xf numFmtId="169" fontId="139" fillId="53" borderId="46" xfId="0" applyNumberFormat="1" applyFont="1" applyFill="1" applyBorder="1" applyAlignment="1">
      <alignment horizontal="right"/>
    </xf>
    <xf numFmtId="169" fontId="139" fillId="53" borderId="47" xfId="0" applyNumberFormat="1" applyFont="1" applyFill="1" applyBorder="1" applyAlignment="1">
      <alignment horizontal="right"/>
    </xf>
    <xf numFmtId="0" fontId="140" fillId="53" borderId="0" xfId="1183" applyFont="1" applyFill="1" applyBorder="1" applyAlignment="1">
      <alignment horizontal="center" vertical="center"/>
    </xf>
    <xf numFmtId="0" fontId="139" fillId="53" borderId="82" xfId="1183" applyFont="1" applyFill="1" applyBorder="1" applyAlignment="1">
      <alignment vertical="center" wrapText="1"/>
    </xf>
    <xf numFmtId="166" fontId="139" fillId="53" borderId="37" xfId="0" applyNumberFormat="1" applyFont="1" applyFill="1" applyBorder="1" applyAlignment="1">
      <alignment horizontal="right"/>
    </xf>
    <xf numFmtId="166" fontId="139" fillId="53" borderId="38" xfId="0" applyNumberFormat="1" applyFont="1" applyFill="1" applyBorder="1" applyAlignment="1">
      <alignment horizontal="right"/>
    </xf>
    <xf numFmtId="1" fontId="18" fillId="53" borderId="0" xfId="1183" applyNumberFormat="1" applyFont="1" applyFill="1" applyBorder="1"/>
    <xf numFmtId="167" fontId="18" fillId="53" borderId="0" xfId="1183" applyNumberFormat="1" applyFont="1" applyFill="1"/>
    <xf numFmtId="1" fontId="18" fillId="53" borderId="0" xfId="1183" applyNumberFormat="1" applyFont="1" applyFill="1"/>
    <xf numFmtId="4" fontId="139" fillId="53" borderId="78" xfId="1183" applyNumberFormat="1" applyFont="1" applyFill="1" applyBorder="1" applyAlignment="1">
      <alignment wrapText="1"/>
    </xf>
    <xf numFmtId="4" fontId="141" fillId="53" borderId="78" xfId="1183" applyNumberFormat="1" applyFont="1" applyFill="1" applyBorder="1" applyAlignment="1">
      <alignment vertical="center"/>
    </xf>
    <xf numFmtId="4" fontId="141" fillId="53" borderId="78" xfId="1183" applyNumberFormat="1" applyFont="1" applyFill="1" applyBorder="1" applyAlignment="1"/>
    <xf numFmtId="4" fontId="139" fillId="53" borderId="115" xfId="1183" applyNumberFormat="1" applyFont="1" applyFill="1" applyBorder="1" applyAlignment="1"/>
    <xf numFmtId="0" fontId="139" fillId="53" borderId="85" xfId="1183" applyFont="1" applyFill="1" applyBorder="1" applyAlignment="1">
      <alignment wrapText="1"/>
    </xf>
    <xf numFmtId="0" fontId="141" fillId="53" borderId="85" xfId="1183" applyFont="1" applyFill="1" applyBorder="1" applyAlignment="1">
      <alignment vertical="center"/>
    </xf>
    <xf numFmtId="0" fontId="141" fillId="53" borderId="85" xfId="1183" applyFont="1" applyFill="1" applyBorder="1" applyAlignment="1">
      <alignment horizontal="center"/>
    </xf>
    <xf numFmtId="0" fontId="139" fillId="53" borderId="87" xfId="1183" applyFont="1" applyFill="1" applyBorder="1" applyAlignment="1">
      <alignment horizontal="right"/>
    </xf>
    <xf numFmtId="1" fontId="18" fillId="54" borderId="0" xfId="1183" applyNumberFormat="1" applyFont="1" applyFill="1" applyBorder="1"/>
    <xf numFmtId="0" fontId="18" fillId="54" borderId="0" xfId="1183" applyFont="1" applyFill="1" applyBorder="1"/>
    <xf numFmtId="169" fontId="139" fillId="53" borderId="86" xfId="1183" applyNumberFormat="1" applyFont="1" applyFill="1" applyBorder="1" applyAlignment="1">
      <alignment wrapText="1"/>
    </xf>
    <xf numFmtId="4" fontId="139" fillId="53" borderId="84" xfId="1183" applyNumberFormat="1" applyFont="1" applyFill="1" applyBorder="1" applyAlignment="1">
      <alignment wrapText="1"/>
    </xf>
    <xf numFmtId="0" fontId="141" fillId="53" borderId="84" xfId="1183" applyFont="1" applyFill="1" applyBorder="1" applyAlignment="1">
      <alignment vertical="center"/>
    </xf>
    <xf numFmtId="0" fontId="141" fillId="53" borderId="84" xfId="1183" applyFont="1" applyFill="1" applyBorder="1" applyAlignment="1"/>
    <xf numFmtId="4" fontId="139" fillId="53" borderId="86" xfId="1183" applyNumberFormat="1" applyFont="1" applyFill="1" applyBorder="1" applyAlignment="1"/>
    <xf numFmtId="171" fontId="139" fillId="53" borderId="87" xfId="1183" applyNumberFormat="1" applyFont="1" applyFill="1" applyBorder="1" applyAlignment="1"/>
    <xf numFmtId="4" fontId="139" fillId="53" borderId="84" xfId="1183" applyNumberFormat="1" applyFont="1" applyFill="1" applyBorder="1" applyAlignment="1">
      <alignment horizontal="right" wrapText="1"/>
    </xf>
    <xf numFmtId="0" fontId="139" fillId="53" borderId="85" xfId="1183" applyFont="1" applyFill="1" applyBorder="1" applyAlignment="1">
      <alignment horizontal="right" wrapText="1"/>
    </xf>
    <xf numFmtId="167" fontId="139" fillId="53" borderId="87" xfId="1183" applyNumberFormat="1" applyFont="1" applyFill="1" applyBorder="1" applyAlignment="1">
      <alignment horizontal="right"/>
    </xf>
    <xf numFmtId="0" fontId="139" fillId="53" borderId="86" xfId="1183" applyFont="1" applyFill="1" applyBorder="1" applyAlignment="1"/>
    <xf numFmtId="0" fontId="139" fillId="53" borderId="84" xfId="1183" applyFont="1" applyFill="1" applyBorder="1" applyAlignment="1">
      <alignment vertical="center" wrapText="1"/>
    </xf>
    <xf numFmtId="0" fontId="139" fillId="53" borderId="84" xfId="1183" applyFont="1" applyFill="1" applyBorder="1" applyAlignment="1">
      <alignment vertical="center"/>
    </xf>
    <xf numFmtId="0" fontId="139" fillId="53" borderId="84" xfId="1183" applyFont="1" applyFill="1" applyBorder="1" applyAlignment="1"/>
    <xf numFmtId="0" fontId="139" fillId="53" borderId="85" xfId="1183" applyFont="1" applyFill="1" applyBorder="1" applyAlignment="1">
      <alignment vertical="center" wrapText="1"/>
    </xf>
    <xf numFmtId="0" fontId="139" fillId="53" borderId="85" xfId="1183" applyFont="1" applyFill="1" applyBorder="1" applyAlignment="1">
      <alignment vertical="center"/>
    </xf>
    <xf numFmtId="0" fontId="139" fillId="53" borderId="85" xfId="1183" applyFont="1" applyFill="1" applyBorder="1" applyAlignment="1">
      <alignment horizontal="center"/>
    </xf>
    <xf numFmtId="0" fontId="139" fillId="53" borderId="87" xfId="1183" applyFont="1" applyFill="1" applyBorder="1" applyAlignment="1"/>
    <xf numFmtId="168" fontId="139" fillId="53" borderId="84" xfId="1183" applyNumberFormat="1" applyFont="1" applyFill="1" applyBorder="1" applyAlignment="1">
      <alignment horizontal="right" wrapText="1"/>
    </xf>
    <xf numFmtId="168" fontId="139" fillId="53" borderId="84" xfId="1183" applyNumberFormat="1" applyFont="1" applyFill="1" applyBorder="1" applyAlignment="1">
      <alignment vertical="center"/>
    </xf>
    <xf numFmtId="168" fontId="139" fillId="53" borderId="84" xfId="1183" applyNumberFormat="1" applyFont="1" applyFill="1" applyBorder="1" applyAlignment="1"/>
    <xf numFmtId="168" fontId="139" fillId="53" borderId="119" xfId="1183" applyNumberFormat="1" applyFont="1" applyFill="1" applyBorder="1" applyAlignment="1"/>
    <xf numFmtId="166" fontId="139" fillId="53" borderId="85" xfId="1183" applyNumberFormat="1" applyFont="1" applyFill="1" applyBorder="1" applyAlignment="1">
      <alignment horizontal="right"/>
    </xf>
    <xf numFmtId="166" fontId="139" fillId="53" borderId="120" xfId="1183" applyNumberFormat="1" applyFont="1" applyFill="1" applyBorder="1" applyAlignment="1">
      <alignment horizontal="right"/>
    </xf>
    <xf numFmtId="169" fontId="139" fillId="53" borderId="84" xfId="1183" applyNumberFormat="1" applyFont="1" applyFill="1" applyBorder="1" applyAlignment="1">
      <alignment horizontal="right" wrapText="1"/>
    </xf>
    <xf numFmtId="0" fontId="139" fillId="53" borderId="84" xfId="1183" applyFont="1" applyFill="1" applyBorder="1" applyAlignment="1">
      <alignment horizontal="right" wrapText="1"/>
    </xf>
    <xf numFmtId="0" fontId="141" fillId="53" borderId="0" xfId="1183" applyFont="1" applyFill="1"/>
    <xf numFmtId="0" fontId="139" fillId="55" borderId="81" xfId="1183" applyFont="1" applyFill="1" applyBorder="1" applyAlignment="1">
      <alignment vertical="center" wrapText="1"/>
    </xf>
    <xf numFmtId="0" fontId="139" fillId="55" borderId="82" xfId="1183" applyFont="1" applyFill="1" applyBorder="1" applyAlignment="1">
      <alignment vertical="center" wrapText="1"/>
    </xf>
    <xf numFmtId="0" fontId="139" fillId="55" borderId="0" xfId="1183" applyFont="1" applyFill="1" applyBorder="1" applyAlignment="1">
      <alignment vertical="center" wrapText="1"/>
    </xf>
    <xf numFmtId="0" fontId="139" fillId="53" borderId="0" xfId="1183" applyFont="1" applyFill="1" applyBorder="1" applyAlignment="1">
      <alignment vertical="center" wrapText="1"/>
    </xf>
    <xf numFmtId="0" fontId="278" fillId="53" borderId="0" xfId="1183" applyFont="1" applyFill="1"/>
    <xf numFmtId="0" fontId="275" fillId="53" borderId="0" xfId="1183" applyFont="1" applyFill="1"/>
    <xf numFmtId="0" fontId="18" fillId="53" borderId="0" xfId="1183" applyFont="1" applyFill="1" applyAlignment="1">
      <alignment horizontal="left"/>
    </xf>
    <xf numFmtId="0" fontId="9" fillId="53" borderId="0" xfId="0" applyFont="1" applyFill="1"/>
    <xf numFmtId="0" fontId="49" fillId="53" borderId="0" xfId="0" applyFont="1" applyFill="1" applyAlignment="1">
      <alignment horizontal="centerContinuous"/>
    </xf>
    <xf numFmtId="173" fontId="9" fillId="53" borderId="17" xfId="1215" applyNumberFormat="1" applyFont="1" applyFill="1" applyBorder="1" applyAlignment="1">
      <alignment horizontal="center" wrapText="1"/>
    </xf>
    <xf numFmtId="0" fontId="16" fillId="53" borderId="0" xfId="0" applyFont="1" applyFill="1"/>
    <xf numFmtId="0" fontId="11" fillId="53" borderId="0" xfId="0" applyFont="1" applyFill="1" applyAlignment="1">
      <alignment horizontal="right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0" xfId="0"/>
    <xf numFmtId="0" fontId="0" fillId="0" borderId="17" xfId="0" applyBorder="1"/>
    <xf numFmtId="0" fontId="0" fillId="0" borderId="0" xfId="0"/>
    <xf numFmtId="0" fontId="9" fillId="0" borderId="17" xfId="0" applyFont="1" applyBorder="1" applyAlignment="1">
      <alignment horizontal="center"/>
    </xf>
    <xf numFmtId="0" fontId="82" fillId="0" borderId="0" xfId="0" applyFont="1"/>
    <xf numFmtId="0" fontId="255" fillId="0" borderId="0" xfId="0" applyFont="1"/>
    <xf numFmtId="0" fontId="33" fillId="0" borderId="0" xfId="0" applyFont="1"/>
    <xf numFmtId="0" fontId="159" fillId="0" borderId="17" xfId="0" applyFont="1" applyBorder="1" applyAlignment="1">
      <alignment horizontal="right"/>
    </xf>
    <xf numFmtId="0" fontId="159" fillId="0" borderId="0" xfId="0" applyFont="1" applyFill="1"/>
    <xf numFmtId="0" fontId="159" fillId="0" borderId="0" xfId="0" applyFont="1" applyFill="1" applyAlignment="1">
      <alignment vertical="center"/>
    </xf>
    <xf numFmtId="173" fontId="159" fillId="0" borderId="0" xfId="0" applyNumberFormat="1" applyFont="1" applyFill="1"/>
    <xf numFmtId="0" fontId="159" fillId="48" borderId="0" xfId="0" applyFont="1" applyFill="1" applyAlignment="1">
      <alignment vertical="center"/>
    </xf>
    <xf numFmtId="0" fontId="142" fillId="28" borderId="17" xfId="0" applyFont="1" applyFill="1" applyBorder="1" applyAlignment="1">
      <alignment horizontal="right" vertical="center"/>
    </xf>
    <xf numFmtId="0" fontId="142" fillId="28" borderId="17" xfId="0" applyFont="1" applyFill="1" applyBorder="1" applyAlignment="1">
      <alignment vertical="center"/>
    </xf>
    <xf numFmtId="0" fontId="290" fillId="0" borderId="0" xfId="0" applyFont="1"/>
    <xf numFmtId="0" fontId="290" fillId="46" borderId="0" xfId="0" applyFont="1" applyFill="1"/>
    <xf numFmtId="0" fontId="291" fillId="0" borderId="0" xfId="0" applyFont="1" applyAlignment="1">
      <alignment horizontal="right"/>
    </xf>
    <xf numFmtId="10" fontId="291" fillId="0" borderId="0" xfId="0" applyNumberFormat="1" applyFont="1"/>
    <xf numFmtId="0" fontId="291" fillId="0" borderId="0" xfId="0" applyFont="1"/>
    <xf numFmtId="0" fontId="291" fillId="46" borderId="0" xfId="0" applyFont="1" applyFill="1"/>
    <xf numFmtId="0" fontId="33" fillId="0" borderId="17" xfId="0" applyFont="1" applyBorder="1" applyAlignment="1">
      <alignment horizontal="center" wrapText="1"/>
    </xf>
    <xf numFmtId="173" fontId="159" fillId="46" borderId="17" xfId="1215" applyNumberFormat="1" applyFont="1" applyFill="1" applyBorder="1" applyAlignment="1">
      <alignment horizontal="center" wrapText="1"/>
    </xf>
    <xf numFmtId="0" fontId="33" fillId="0" borderId="0" xfId="0" applyFont="1" applyAlignment="1">
      <alignment horizontal="center"/>
    </xf>
    <xf numFmtId="0" fontId="33" fillId="48" borderId="17" xfId="1208" applyFont="1" applyFill="1" applyBorder="1" applyAlignment="1">
      <alignment horizontal="center" wrapText="1"/>
    </xf>
    <xf numFmtId="173" fontId="161" fillId="48" borderId="17" xfId="1215" applyNumberFormat="1" applyFont="1" applyFill="1" applyBorder="1" applyAlignment="1">
      <alignment horizontal="center" wrapText="1"/>
    </xf>
    <xf numFmtId="0" fontId="33" fillId="46" borderId="17" xfId="1208" applyFont="1" applyFill="1" applyBorder="1" applyAlignment="1">
      <alignment horizontal="center" wrapText="1"/>
    </xf>
    <xf numFmtId="0" fontId="262" fillId="46" borderId="17" xfId="1208" applyFont="1" applyFill="1" applyBorder="1" applyAlignment="1">
      <alignment horizontal="center" wrapText="1"/>
    </xf>
    <xf numFmtId="0" fontId="33" fillId="46" borderId="17" xfId="1208" applyFont="1" applyFill="1" applyBorder="1" applyAlignment="1">
      <alignment wrapText="1"/>
    </xf>
    <xf numFmtId="0" fontId="289" fillId="48" borderId="17" xfId="1208" applyFont="1" applyFill="1" applyBorder="1" applyAlignment="1">
      <alignment wrapText="1"/>
    </xf>
    <xf numFmtId="0" fontId="288" fillId="0" borderId="0" xfId="0" applyFont="1" applyAlignment="1">
      <alignment horizontal="centerContinuous"/>
    </xf>
    <xf numFmtId="0" fontId="33" fillId="0" borderId="17" xfId="0" applyFont="1" applyBorder="1" applyAlignment="1">
      <alignment horizontal="center" vertical="top"/>
    </xf>
    <xf numFmtId="0" fontId="33" fillId="0" borderId="17" xfId="0" applyFont="1" applyBorder="1" applyAlignment="1">
      <alignment horizontal="center" vertical="top" wrapText="1"/>
    </xf>
    <xf numFmtId="0" fontId="33" fillId="0" borderId="17" xfId="0" applyFont="1" applyBorder="1" applyAlignment="1">
      <alignment horizontal="centerContinuous" vertical="top" wrapText="1"/>
    </xf>
    <xf numFmtId="0" fontId="288" fillId="0" borderId="17" xfId="0" applyFont="1" applyBorder="1" applyAlignment="1">
      <alignment horizontal="center" vertical="top" wrapText="1"/>
    </xf>
    <xf numFmtId="0" fontId="287" fillId="0" borderId="23" xfId="0" applyFont="1" applyBorder="1" applyAlignment="1">
      <alignment horizontal="centerContinuous" vertical="top"/>
    </xf>
    <xf numFmtId="0" fontId="287" fillId="0" borderId="23" xfId="0" applyFont="1" applyBorder="1" applyAlignment="1">
      <alignment horizontal="centerContinuous" vertical="top" wrapText="1"/>
    </xf>
    <xf numFmtId="0" fontId="287" fillId="0" borderId="17" xfId="0" applyFont="1" applyBorder="1" applyAlignment="1">
      <alignment horizontal="centerContinuous" vertical="top" wrapText="1"/>
    </xf>
    <xf numFmtId="170" fontId="142" fillId="28" borderId="17" xfId="0" applyNumberFormat="1" applyFont="1" applyFill="1" applyBorder="1" applyAlignment="1">
      <alignment horizontal="center" vertical="center"/>
    </xf>
    <xf numFmtId="0" fontId="33" fillId="46" borderId="23" xfId="1208" applyFont="1" applyFill="1" applyBorder="1" applyAlignment="1">
      <alignment wrapText="1"/>
    </xf>
    <xf numFmtId="0" fontId="33" fillId="46" borderId="22" xfId="1208" applyFont="1" applyFill="1" applyBorder="1" applyAlignment="1">
      <alignment wrapText="1"/>
    </xf>
    <xf numFmtId="0" fontId="33" fillId="46" borderId="22" xfId="1208" applyFont="1" applyFill="1" applyBorder="1" applyAlignment="1">
      <alignment horizontal="center" wrapText="1"/>
    </xf>
    <xf numFmtId="0" fontId="293" fillId="56" borderId="0" xfId="0" applyFont="1" applyFill="1"/>
    <xf numFmtId="0" fontId="131" fillId="0" borderId="0" xfId="0" applyFont="1"/>
    <xf numFmtId="0" fontId="293" fillId="56" borderId="0" xfId="0" applyFont="1" applyFill="1" applyAlignment="1">
      <alignment horizontal="left"/>
    </xf>
    <xf numFmtId="164" fontId="280" fillId="56" borderId="0" xfId="0" applyNumberFormat="1" applyFont="1" applyFill="1"/>
    <xf numFmtId="0" fontId="0" fillId="0" borderId="0" xfId="0" applyAlignment="1">
      <alignment horizontal="center"/>
    </xf>
    <xf numFmtId="0" fontId="51" fillId="0" borderId="20" xfId="0" applyFont="1" applyBorder="1" applyAlignment="1">
      <alignment horizontal="center"/>
    </xf>
    <xf numFmtId="14" fontId="9" fillId="0" borderId="17" xfId="0" applyNumberFormat="1" applyFont="1" applyBorder="1" applyAlignment="1">
      <alignment horizontal="center"/>
    </xf>
    <xf numFmtId="0" fontId="51" fillId="0" borderId="17" xfId="0" applyFont="1" applyBorder="1" applyAlignment="1">
      <alignment horizontal="center"/>
    </xf>
    <xf numFmtId="0" fontId="51" fillId="0" borderId="20" xfId="0" applyFont="1" applyBorder="1" applyAlignment="1">
      <alignment horizontal="center" wrapText="1"/>
    </xf>
    <xf numFmtId="0" fontId="294" fillId="0" borderId="0" xfId="1176" applyFont="1"/>
    <xf numFmtId="0" fontId="280" fillId="0" borderId="0" xfId="0" applyFont="1"/>
    <xf numFmtId="0" fontId="292" fillId="0" borderId="0" xfId="1176" applyFont="1"/>
    <xf numFmtId="4" fontId="285" fillId="56" borderId="17" xfId="0" applyNumberFormat="1" applyFont="1" applyFill="1" applyBorder="1" applyAlignment="1">
      <alignment horizontal="center"/>
    </xf>
    <xf numFmtId="4" fontId="285" fillId="56" borderId="17" xfId="0" applyNumberFormat="1" applyFont="1" applyFill="1" applyBorder="1" applyAlignment="1">
      <alignment horizontal="left"/>
    </xf>
    <xf numFmtId="0" fontId="136" fillId="0" borderId="0" xfId="1181" applyFont="1"/>
    <xf numFmtId="0" fontId="8" fillId="46" borderId="66" xfId="0" applyFont="1" applyFill="1" applyBorder="1" applyAlignment="1">
      <alignment horizontal="center" vertical="center" wrapText="1"/>
    </xf>
    <xf numFmtId="199" fontId="9" fillId="51" borderId="66" xfId="1216" applyNumberFormat="1" applyFont="1" applyFill="1" applyBorder="1" applyAlignment="1">
      <alignment horizontal="center" vertical="top"/>
    </xf>
    <xf numFmtId="199" fontId="8" fillId="51" borderId="66" xfId="1216" applyNumberFormat="1" applyFont="1" applyFill="1" applyBorder="1" applyAlignment="1">
      <alignment horizontal="center" vertical="center"/>
    </xf>
    <xf numFmtId="0" fontId="11" fillId="53" borderId="0" xfId="0" applyFont="1" applyFill="1" applyAlignment="1">
      <alignment horizontal="left"/>
    </xf>
    <xf numFmtId="0" fontId="11" fillId="53" borderId="0" xfId="0" applyFont="1" applyFill="1"/>
    <xf numFmtId="170" fontId="49" fillId="53" borderId="0" xfId="0" applyNumberFormat="1" applyFont="1" applyFill="1" applyAlignment="1">
      <alignment horizontal="center"/>
    </xf>
    <xf numFmtId="0" fontId="49" fillId="53" borderId="0" xfId="0" applyFont="1" applyFill="1"/>
    <xf numFmtId="164" fontId="14" fillId="53" borderId="0" xfId="0" applyNumberFormat="1" applyFont="1" applyFill="1"/>
    <xf numFmtId="0" fontId="14" fillId="53" borderId="0" xfId="0" applyFont="1" applyFill="1"/>
    <xf numFmtId="0" fontId="9" fillId="0" borderId="66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170" fontId="49" fillId="53" borderId="0" xfId="0" applyNumberFormat="1" applyFont="1" applyFill="1"/>
    <xf numFmtId="0" fontId="293" fillId="56" borderId="26" xfId="1176" applyFont="1" applyFill="1" applyBorder="1" applyAlignment="1">
      <alignment horizontal="center"/>
    </xf>
    <xf numFmtId="0" fontId="295" fillId="57" borderId="0" xfId="1176" applyFont="1" applyFill="1" applyAlignment="1">
      <alignment horizontal="left"/>
    </xf>
    <xf numFmtId="0" fontId="295" fillId="57" borderId="0" xfId="1176" applyFont="1" applyFill="1" applyAlignment="1">
      <alignment horizontal="center"/>
    </xf>
    <xf numFmtId="0" fontId="295" fillId="57" borderId="0" xfId="1176" applyFont="1" applyFill="1"/>
    <xf numFmtId="10" fontId="255" fillId="0" borderId="0" xfId="0" applyNumberFormat="1" applyFont="1"/>
    <xf numFmtId="4" fontId="290" fillId="56" borderId="17" xfId="0" applyNumberFormat="1" applyFont="1" applyFill="1" applyBorder="1" applyAlignment="1">
      <alignment horizontal="center" wrapText="1"/>
    </xf>
    <xf numFmtId="0" fontId="11" fillId="53" borderId="0" xfId="1176" applyFont="1" applyFill="1" applyAlignment="1">
      <alignment horizontal="center"/>
    </xf>
    <xf numFmtId="0" fontId="11" fillId="53" borderId="0" xfId="0" applyFont="1" applyFill="1" applyBorder="1" applyAlignment="1">
      <alignment horizontal="left" vertical="center"/>
    </xf>
    <xf numFmtId="0" fontId="79" fillId="53" borderId="0" xfId="0" applyFont="1" applyFill="1" applyBorder="1" applyAlignment="1">
      <alignment vertical="center"/>
    </xf>
    <xf numFmtId="0" fontId="49" fillId="53" borderId="0" xfId="0" applyFont="1" applyFill="1" applyBorder="1" applyAlignment="1">
      <alignment vertical="center"/>
    </xf>
    <xf numFmtId="170" fontId="79" fillId="53" borderId="0" xfId="0" applyNumberFormat="1" applyFont="1" applyFill="1" applyBorder="1" applyAlignment="1">
      <alignment vertical="center"/>
    </xf>
    <xf numFmtId="0" fontId="288" fillId="0" borderId="17" xfId="0" applyFont="1" applyBorder="1" applyAlignment="1">
      <alignment horizontal="centerContinuous" vertical="top" wrapText="1"/>
    </xf>
    <xf numFmtId="173" fontId="159" fillId="53" borderId="23" xfId="1215" applyNumberFormat="1" applyFont="1" applyFill="1" applyBorder="1" applyAlignment="1">
      <alignment horizontal="center" wrapText="1"/>
    </xf>
    <xf numFmtId="173" fontId="159" fillId="53" borderId="22" xfId="1215" applyNumberFormat="1" applyFont="1" applyFill="1" applyBorder="1" applyAlignment="1">
      <alignment horizontal="center" wrapText="1"/>
    </xf>
    <xf numFmtId="0" fontId="33" fillId="53" borderId="23" xfId="0" applyFont="1" applyFill="1" applyBorder="1" applyAlignment="1">
      <alignment horizontal="center" wrapText="1"/>
    </xf>
    <xf numFmtId="0" fontId="33" fillId="53" borderId="22" xfId="0" applyFont="1" applyFill="1" applyBorder="1" applyAlignment="1">
      <alignment horizontal="center" wrapText="1"/>
    </xf>
    <xf numFmtId="173" fontId="33" fillId="53" borderId="22" xfId="1215" applyNumberFormat="1" applyFont="1" applyFill="1" applyBorder="1" applyAlignment="1">
      <alignment horizontal="center" wrapText="1"/>
    </xf>
    <xf numFmtId="0" fontId="9" fillId="0" borderId="0" xfId="1427" applyFont="1" applyAlignment="1">
      <alignment horizontal="right"/>
    </xf>
    <xf numFmtId="216" fontId="9" fillId="0" borderId="0" xfId="1426" applyNumberFormat="1" applyFont="1"/>
    <xf numFmtId="168" fontId="8" fillId="0" borderId="66" xfId="0" applyNumberFormat="1" applyFont="1" applyBorder="1" applyAlignment="1">
      <alignment horizontal="center"/>
    </xf>
    <xf numFmtId="0" fontId="24" fillId="0" borderId="0" xfId="0" applyFont="1" applyAlignment="1">
      <alignment horizontal="center"/>
    </xf>
    <xf numFmtId="0" fontId="8" fillId="0" borderId="66" xfId="0" applyFont="1" applyBorder="1" applyAlignment="1">
      <alignment horizontal="center"/>
    </xf>
    <xf numFmtId="195" fontId="55" fillId="0" borderId="0" xfId="0" applyNumberFormat="1" applyFont="1"/>
    <xf numFmtId="170" fontId="255" fillId="0" borderId="0" xfId="0" applyNumberFormat="1" applyFont="1"/>
    <xf numFmtId="0" fontId="33" fillId="46" borderId="23" xfId="1208" applyFont="1" applyFill="1" applyBorder="1" applyAlignment="1">
      <alignment horizontal="center" wrapText="1"/>
    </xf>
    <xf numFmtId="0" fontId="159" fillId="53" borderId="17" xfId="0" applyFont="1" applyFill="1" applyBorder="1" applyAlignment="1">
      <alignment horizontal="right"/>
    </xf>
    <xf numFmtId="0" fontId="33" fillId="53" borderId="17" xfId="1208" applyFont="1" applyFill="1" applyBorder="1" applyAlignment="1">
      <alignment wrapText="1"/>
    </xf>
    <xf numFmtId="0" fontId="33" fillId="53" borderId="17" xfId="1208" applyFont="1" applyFill="1" applyBorder="1" applyAlignment="1">
      <alignment horizontal="center" wrapText="1"/>
    </xf>
    <xf numFmtId="0" fontId="33" fillId="53" borderId="17" xfId="0" applyFont="1" applyFill="1" applyBorder="1" applyAlignment="1">
      <alignment horizontal="center" wrapText="1"/>
    </xf>
    <xf numFmtId="173" fontId="159" fillId="53" borderId="17" xfId="1215" applyNumberFormat="1" applyFont="1" applyFill="1" applyBorder="1" applyAlignment="1">
      <alignment horizontal="center" wrapText="1"/>
    </xf>
    <xf numFmtId="0" fontId="159" fillId="53" borderId="0" xfId="0" applyFont="1" applyFill="1"/>
    <xf numFmtId="0" fontId="159" fillId="53" borderId="0" xfId="0" applyFont="1" applyFill="1" applyAlignment="1">
      <alignment vertical="center"/>
    </xf>
    <xf numFmtId="0" fontId="33" fillId="53" borderId="23" xfId="1208" applyFont="1" applyFill="1" applyBorder="1" applyAlignment="1">
      <alignment horizontal="center" vertical="center" wrapText="1"/>
    </xf>
    <xf numFmtId="173" fontId="285" fillId="53" borderId="17" xfId="1215" applyNumberFormat="1" applyFont="1" applyFill="1" applyBorder="1" applyAlignment="1">
      <alignment horizontal="center" wrapText="1"/>
    </xf>
    <xf numFmtId="169" fontId="297" fillId="53" borderId="46" xfId="0" applyNumberFormat="1" applyFont="1" applyFill="1" applyBorder="1" applyAlignment="1">
      <alignment horizontal="right"/>
    </xf>
    <xf numFmtId="169" fontId="297" fillId="53" borderId="46" xfId="0" applyNumberFormat="1" applyFont="1" applyFill="1" applyBorder="1" applyAlignment="1">
      <alignment horizontal="right" vertical="center"/>
    </xf>
    <xf numFmtId="166" fontId="18" fillId="53" borderId="0" xfId="1183" applyNumberFormat="1" applyFont="1" applyFill="1"/>
    <xf numFmtId="0" fontId="16" fillId="53" borderId="0" xfId="0" quotePrefix="1" applyFont="1" applyFill="1" applyAlignment="1">
      <alignment horizontal="right"/>
    </xf>
    <xf numFmtId="0" fontId="16" fillId="53" borderId="0" xfId="0" applyFont="1" applyFill="1" applyAlignment="1">
      <alignment horizontal="centerContinuous"/>
    </xf>
    <xf numFmtId="0" fontId="16" fillId="53" borderId="0" xfId="0" applyFont="1" applyFill="1" applyBorder="1" applyAlignment="1">
      <alignment horizontal="center"/>
    </xf>
    <xf numFmtId="0" fontId="16" fillId="53" borderId="0" xfId="0" applyFont="1" applyFill="1" applyBorder="1"/>
    <xf numFmtId="0" fontId="16" fillId="53" borderId="0" xfId="0" applyFont="1" applyFill="1" applyAlignment="1">
      <alignment horizontal="right"/>
    </xf>
    <xf numFmtId="0" fontId="16" fillId="53" borderId="17" xfId="0" applyFont="1" applyFill="1" applyBorder="1" applyAlignment="1">
      <alignment horizontal="center"/>
    </xf>
    <xf numFmtId="0" fontId="17" fillId="53" borderId="17" xfId="0" applyFont="1" applyFill="1" applyBorder="1" applyAlignment="1">
      <alignment horizontal="center"/>
    </xf>
    <xf numFmtId="198" fontId="16" fillId="53" borderId="17" xfId="1215" applyNumberFormat="1" applyFont="1" applyFill="1" applyBorder="1" applyAlignment="1">
      <alignment horizontal="right" wrapText="1"/>
    </xf>
    <xf numFmtId="165" fontId="16" fillId="53" borderId="17" xfId="0" applyNumberFormat="1" applyFont="1" applyFill="1" applyBorder="1" applyAlignment="1"/>
    <xf numFmtId="0" fontId="16" fillId="53" borderId="17" xfId="0" applyFont="1" applyFill="1" applyBorder="1" applyAlignment="1"/>
    <xf numFmtId="0" fontId="16" fillId="53" borderId="0" xfId="0" applyFont="1" applyFill="1" applyAlignment="1"/>
    <xf numFmtId="194" fontId="16" fillId="53" borderId="17" xfId="1215" applyNumberFormat="1" applyFont="1" applyFill="1" applyBorder="1" applyAlignment="1">
      <alignment horizontal="right" wrapText="1"/>
    </xf>
    <xf numFmtId="173" fontId="16" fillId="53" borderId="17" xfId="1215" applyNumberFormat="1" applyFont="1" applyFill="1" applyBorder="1" applyAlignment="1">
      <alignment horizontal="right" wrapText="1"/>
    </xf>
    <xf numFmtId="2" fontId="16" fillId="53" borderId="23" xfId="0" applyNumberFormat="1" applyFont="1" applyFill="1" applyBorder="1" applyAlignment="1"/>
    <xf numFmtId="173" fontId="16" fillId="53" borderId="23" xfId="1215" applyNumberFormat="1" applyFont="1" applyFill="1" applyBorder="1" applyAlignment="1">
      <alignment horizontal="right" wrapText="1"/>
    </xf>
    <xf numFmtId="0" fontId="16" fillId="53" borderId="23" xfId="0" applyFont="1" applyFill="1" applyBorder="1" applyAlignment="1"/>
    <xf numFmtId="0" fontId="16" fillId="53" borderId="25" xfId="0" applyFont="1" applyFill="1" applyBorder="1" applyAlignment="1"/>
    <xf numFmtId="0" fontId="16" fillId="53" borderId="22" xfId="0" applyFont="1" applyFill="1" applyBorder="1" applyAlignment="1"/>
    <xf numFmtId="198" fontId="16" fillId="53" borderId="23" xfId="1215" applyNumberFormat="1" applyFont="1" applyFill="1" applyBorder="1" applyAlignment="1">
      <alignment horizontal="right" wrapText="1"/>
    </xf>
    <xf numFmtId="0" fontId="16" fillId="53" borderId="29" xfId="0" applyFont="1" applyFill="1" applyBorder="1" applyAlignment="1"/>
    <xf numFmtId="0" fontId="16" fillId="53" borderId="24" xfId="0" applyFont="1" applyFill="1" applyBorder="1" applyAlignment="1"/>
    <xf numFmtId="0" fontId="108" fillId="53" borderId="0" xfId="1181" applyFont="1" applyFill="1"/>
    <xf numFmtId="0" fontId="51" fillId="46" borderId="23" xfId="0" applyFont="1" applyFill="1" applyBorder="1" applyAlignment="1">
      <alignment horizontal="center" wrapText="1"/>
    </xf>
    <xf numFmtId="0" fontId="47" fillId="0" borderId="0" xfId="1176" applyAlignment="1">
      <alignment vertical="center" wrapText="1"/>
    </xf>
    <xf numFmtId="0" fontId="67" fillId="0" borderId="0" xfId="1176" applyFont="1" applyFill="1" applyAlignment="1">
      <alignment horizontal="centerContinuous" wrapText="1"/>
    </xf>
    <xf numFmtId="0" fontId="298" fillId="0" borderId="0" xfId="1176" applyFont="1" applyFill="1" applyAlignment="1">
      <alignment horizontal="centerContinuous" vertical="center" wrapText="1"/>
    </xf>
    <xf numFmtId="0" fontId="214" fillId="0" borderId="0" xfId="1176" applyFont="1" applyAlignment="1">
      <alignment vertical="center" wrapText="1"/>
    </xf>
    <xf numFmtId="0" fontId="299" fillId="0" borderId="0" xfId="1176" applyFont="1" applyFill="1" applyAlignment="1">
      <alignment horizontal="centerContinuous" vertical="center" wrapText="1"/>
    </xf>
    <xf numFmtId="0" fontId="298" fillId="0" borderId="0" xfId="1176" applyFont="1" applyFill="1" applyAlignment="1">
      <alignment horizontal="left" vertical="center" wrapText="1"/>
    </xf>
    <xf numFmtId="0" fontId="60" fillId="0" borderId="0" xfId="1176" applyFont="1" applyAlignment="1">
      <alignment vertical="center" wrapText="1"/>
    </xf>
    <xf numFmtId="4" fontId="47" fillId="0" borderId="0" xfId="1176" applyNumberFormat="1" applyAlignment="1">
      <alignment vertical="center" wrapText="1"/>
    </xf>
    <xf numFmtId="0" fontId="214" fillId="0" borderId="0" xfId="1176" applyFont="1" applyAlignment="1">
      <alignment horizontal="centerContinuous" vertical="center" wrapText="1"/>
    </xf>
    <xf numFmtId="0" fontId="60" fillId="0" borderId="23" xfId="1176" applyFont="1" applyBorder="1" applyAlignment="1">
      <alignment horizontal="center" vertical="center" wrapText="1"/>
    </xf>
    <xf numFmtId="0" fontId="60" fillId="0" borderId="23" xfId="1176" applyFont="1" applyBorder="1" applyAlignment="1">
      <alignment horizontal="centerContinuous" vertical="center"/>
    </xf>
    <xf numFmtId="0" fontId="64" fillId="2" borderId="17" xfId="1176" applyFont="1" applyFill="1" applyBorder="1" applyAlignment="1">
      <alignment horizontal="centerContinuous" vertical="center" wrapText="1"/>
    </xf>
    <xf numFmtId="0" fontId="300" fillId="2" borderId="20" xfId="1176" applyFont="1" applyFill="1" applyBorder="1" applyAlignment="1">
      <alignment horizontal="centerContinuous" vertical="center" wrapText="1"/>
    </xf>
    <xf numFmtId="0" fontId="60" fillId="2" borderId="17" xfId="1176" applyFont="1" applyFill="1" applyBorder="1" applyAlignment="1">
      <alignment horizontal="centerContinuous" vertical="center" wrapText="1"/>
    </xf>
    <xf numFmtId="4" fontId="60" fillId="2" borderId="17" xfId="1176" applyNumberFormat="1" applyFont="1" applyFill="1" applyBorder="1" applyAlignment="1">
      <alignment horizontal="centerContinuous" vertical="center" wrapText="1"/>
    </xf>
    <xf numFmtId="0" fontId="300" fillId="0" borderId="0" xfId="1176" applyFont="1" applyAlignment="1">
      <alignment horizontal="center" vertical="center" wrapText="1"/>
    </xf>
    <xf numFmtId="0" fontId="60" fillId="46" borderId="17" xfId="1176" applyFont="1" applyFill="1" applyBorder="1" applyAlignment="1">
      <alignment horizontal="right" wrapText="1"/>
    </xf>
    <xf numFmtId="0" fontId="60" fillId="46" borderId="17" xfId="1176" applyFont="1" applyFill="1" applyBorder="1" applyAlignment="1">
      <alignment horizontal="left" wrapText="1"/>
    </xf>
    <xf numFmtId="0" fontId="60" fillId="46" borderId="17" xfId="1176" applyFont="1" applyFill="1" applyBorder="1" applyAlignment="1">
      <alignment horizontal="center" wrapText="1"/>
    </xf>
    <xf numFmtId="0" fontId="300" fillId="46" borderId="0" xfId="1176" applyFont="1" applyFill="1" applyAlignment="1">
      <alignment horizontal="center" vertical="center" wrapText="1"/>
    </xf>
    <xf numFmtId="0" fontId="67" fillId="0" borderId="0" xfId="1176" applyFont="1" applyFill="1" applyAlignment="1">
      <alignment horizontal="centerContinuous" vertical="top" wrapText="1"/>
    </xf>
    <xf numFmtId="0" fontId="298" fillId="0" borderId="0" xfId="1176" applyFont="1" applyFill="1" applyAlignment="1">
      <alignment horizontal="centerContinuous" vertical="top" wrapText="1"/>
    </xf>
    <xf numFmtId="0" fontId="60" fillId="2" borderId="17" xfId="1176" applyFont="1" applyFill="1" applyBorder="1" applyAlignment="1">
      <alignment horizontal="centerContinuous" vertical="top" wrapText="1"/>
    </xf>
    <xf numFmtId="0" fontId="47" fillId="0" borderId="0" xfId="1176" applyAlignment="1">
      <alignment vertical="top" wrapText="1"/>
    </xf>
    <xf numFmtId="3" fontId="60" fillId="46" borderId="17" xfId="1176" applyNumberFormat="1" applyFont="1" applyFill="1" applyBorder="1" applyAlignment="1">
      <alignment horizontal="right" wrapText="1"/>
    </xf>
    <xf numFmtId="3" fontId="60" fillId="44" borderId="17" xfId="1176" applyNumberFormat="1" applyFont="1" applyFill="1" applyBorder="1" applyAlignment="1">
      <alignment horizontal="right" wrapText="1"/>
    </xf>
    <xf numFmtId="0" fontId="82" fillId="0" borderId="0" xfId="1176" applyFont="1" applyFill="1" applyAlignment="1">
      <alignment horizontal="centerContinuous"/>
    </xf>
    <xf numFmtId="0" fontId="60" fillId="0" borderId="17" xfId="1176" applyFont="1" applyBorder="1" applyAlignment="1">
      <alignment horizontal="center" vertical="center" wrapText="1"/>
    </xf>
    <xf numFmtId="4" fontId="60" fillId="61" borderId="17" xfId="1176" applyNumberFormat="1" applyFont="1" applyFill="1" applyBorder="1" applyAlignment="1">
      <alignment horizontal="centerContinuous" vertical="center" wrapText="1"/>
    </xf>
    <xf numFmtId="0" fontId="298" fillId="53" borderId="0" xfId="1176" applyFont="1" applyFill="1" applyAlignment="1">
      <alignment horizontal="centerContinuous" vertical="center" wrapText="1"/>
    </xf>
    <xf numFmtId="0" fontId="299" fillId="53" borderId="0" xfId="1176" applyFont="1" applyFill="1" applyAlignment="1">
      <alignment horizontal="centerContinuous" vertical="center" wrapText="1"/>
    </xf>
    <xf numFmtId="0" fontId="13" fillId="53" borderId="0" xfId="1176" applyFont="1" applyFill="1" applyAlignment="1">
      <alignment horizontal="centerContinuous" vertical="center" wrapText="1"/>
    </xf>
    <xf numFmtId="0" fontId="64" fillId="53" borderId="6" xfId="1176" applyFont="1" applyFill="1" applyBorder="1" applyAlignment="1">
      <alignment horizontal="centerContinuous" vertical="center" wrapText="1"/>
    </xf>
    <xf numFmtId="0" fontId="64" fillId="53" borderId="26" xfId="1176" applyFont="1" applyFill="1" applyBorder="1" applyAlignment="1">
      <alignment horizontal="centerContinuous" vertical="center" wrapText="1"/>
    </xf>
    <xf numFmtId="3" fontId="60" fillId="53" borderId="17" xfId="1176" applyNumberFormat="1" applyFont="1" applyFill="1" applyBorder="1" applyAlignment="1">
      <alignment horizontal="right" wrapText="1"/>
    </xf>
    <xf numFmtId="0" fontId="47" fillId="53" borderId="0" xfId="1176" applyFill="1" applyAlignment="1">
      <alignment vertical="center" wrapText="1"/>
    </xf>
    <xf numFmtId="170" fontId="60" fillId="53" borderId="17" xfId="1176" applyNumberFormat="1" applyFont="1" applyFill="1" applyBorder="1" applyAlignment="1">
      <alignment horizontal="right" wrapText="1"/>
    </xf>
    <xf numFmtId="2" fontId="182" fillId="48" borderId="0" xfId="0" applyNumberFormat="1" applyFont="1" applyFill="1" applyAlignment="1">
      <alignment horizontal="center"/>
    </xf>
    <xf numFmtId="0" fontId="11" fillId="46" borderId="30" xfId="0" applyFont="1" applyFill="1" applyBorder="1"/>
    <xf numFmtId="0" fontId="11" fillId="46" borderId="28" xfId="0" applyFont="1" applyFill="1" applyBorder="1" applyAlignment="1">
      <alignment horizontal="center"/>
    </xf>
    <xf numFmtId="0" fontId="0" fillId="60" borderId="0" xfId="1207" applyFont="1" applyFill="1" applyAlignment="1">
      <alignment horizontal="centerContinuous"/>
    </xf>
    <xf numFmtId="0" fontId="23" fillId="60" borderId="0" xfId="1207" applyFill="1" applyAlignment="1">
      <alignment horizontal="centerContinuous"/>
    </xf>
    <xf numFmtId="0" fontId="0" fillId="60" borderId="0" xfId="1207" applyFont="1" applyFill="1" applyAlignment="1">
      <alignment horizontal="center"/>
    </xf>
    <xf numFmtId="0" fontId="0" fillId="60" borderId="0" xfId="1207" applyFont="1" applyFill="1"/>
    <xf numFmtId="0" fontId="23" fillId="60" borderId="0" xfId="1207" applyFill="1"/>
    <xf numFmtId="0" fontId="11" fillId="57" borderId="0" xfId="1176" applyFont="1" applyFill="1"/>
    <xf numFmtId="0" fontId="11" fillId="57" borderId="0" xfId="1176" applyFont="1" applyFill="1" applyAlignment="1">
      <alignment horizontal="center"/>
    </xf>
    <xf numFmtId="0" fontId="126" fillId="53" borderId="0" xfId="0" applyFont="1" applyFill="1" applyAlignment="1">
      <alignment horizontal="centerContinuous"/>
    </xf>
    <xf numFmtId="0" fontId="0" fillId="53" borderId="0" xfId="0" applyFont="1" applyFill="1" applyAlignment="1">
      <alignment horizontal="centerContinuous"/>
    </xf>
    <xf numFmtId="0" fontId="279" fillId="53" borderId="0" xfId="0" applyFont="1" applyFill="1"/>
    <xf numFmtId="0" fontId="0" fillId="53" borderId="0" xfId="0" applyFont="1" applyFill="1" applyAlignment="1"/>
    <xf numFmtId="0" fontId="0" fillId="53" borderId="0" xfId="0" applyFont="1" applyFill="1"/>
    <xf numFmtId="4" fontId="0" fillId="53" borderId="0" xfId="0" applyNumberFormat="1" applyFont="1" applyFill="1"/>
    <xf numFmtId="0" fontId="279" fillId="56" borderId="0" xfId="0" applyFont="1" applyFill="1" applyAlignment="1">
      <alignment horizontal="right"/>
    </xf>
    <xf numFmtId="0" fontId="0" fillId="57" borderId="0" xfId="0" applyFill="1" applyAlignment="1">
      <alignment horizontal="center"/>
    </xf>
    <xf numFmtId="170" fontId="279" fillId="56" borderId="0" xfId="0" applyNumberFormat="1" applyFont="1" applyFill="1" applyAlignment="1"/>
    <xf numFmtId="170" fontId="0" fillId="57" borderId="0" xfId="0" applyNumberFormat="1" applyFont="1" applyFill="1" applyAlignment="1">
      <alignment horizontal="center"/>
    </xf>
    <xf numFmtId="0" fontId="66" fillId="53" borderId="0" xfId="0" applyFont="1" applyFill="1"/>
    <xf numFmtId="0" fontId="0" fillId="62" borderId="0" xfId="0" applyFont="1" applyFill="1" applyAlignment="1">
      <alignment horizontal="right"/>
    </xf>
    <xf numFmtId="170" fontId="0" fillId="62" borderId="0" xfId="0" applyNumberFormat="1" applyFont="1" applyFill="1"/>
    <xf numFmtId="0" fontId="0" fillId="53" borderId="17" xfId="0" applyFont="1" applyFill="1" applyBorder="1" applyAlignment="1">
      <alignment horizontal="center" vertical="top"/>
    </xf>
    <xf numFmtId="170" fontId="0" fillId="53" borderId="17" xfId="0" applyNumberFormat="1" applyFont="1" applyFill="1" applyBorder="1" applyAlignment="1">
      <alignment horizontal="center" vertical="top" wrapText="1"/>
    </xf>
    <xf numFmtId="0" fontId="279" fillId="53" borderId="0" xfId="0" applyFont="1" applyFill="1" applyAlignment="1"/>
    <xf numFmtId="170" fontId="302" fillId="63" borderId="0" xfId="0" applyNumberFormat="1" applyFont="1" applyFill="1" applyAlignment="1">
      <alignment horizontal="right"/>
    </xf>
    <xf numFmtId="0" fontId="0" fillId="53" borderId="17" xfId="0" applyFont="1" applyFill="1" applyBorder="1" applyAlignment="1">
      <alignment horizontal="right"/>
    </xf>
    <xf numFmtId="0" fontId="0" fillId="53" borderId="33" xfId="0" applyFill="1" applyBorder="1"/>
    <xf numFmtId="0" fontId="0" fillId="53" borderId="6" xfId="0" applyFont="1" applyFill="1" applyBorder="1"/>
    <xf numFmtId="0" fontId="0" fillId="53" borderId="17" xfId="0" applyFill="1" applyBorder="1" applyAlignment="1">
      <alignment horizontal="right"/>
    </xf>
    <xf numFmtId="0" fontId="0" fillId="53" borderId="29" xfId="0" applyFont="1" applyFill="1" applyBorder="1"/>
    <xf numFmtId="4" fontId="279" fillId="53" borderId="0" xfId="0" applyNumberFormat="1" applyFont="1" applyFill="1"/>
    <xf numFmtId="0" fontId="279" fillId="53" borderId="0" xfId="0" applyFont="1" applyFill="1" applyAlignment="1">
      <alignment horizontal="right"/>
    </xf>
    <xf numFmtId="0" fontId="0" fillId="57" borderId="0" xfId="0" applyFont="1" applyFill="1"/>
    <xf numFmtId="170" fontId="279" fillId="57" borderId="0" xfId="0" applyNumberFormat="1" applyFont="1" applyFill="1" applyAlignment="1">
      <alignment horizontal="center"/>
    </xf>
    <xf numFmtId="0" fontId="279" fillId="57" borderId="0" xfId="0" applyFont="1" applyFill="1" applyAlignment="1">
      <alignment horizontal="center"/>
    </xf>
    <xf numFmtId="170" fontId="279" fillId="57" borderId="0" xfId="0" applyNumberFormat="1" applyFont="1" applyFill="1" applyAlignment="1">
      <alignment horizontal="right"/>
    </xf>
    <xf numFmtId="0" fontId="279" fillId="57" borderId="0" xfId="0" applyFont="1" applyFill="1" applyAlignment="1">
      <alignment horizontal="left"/>
    </xf>
    <xf numFmtId="0" fontId="0" fillId="53" borderId="28" xfId="0" applyFill="1" applyBorder="1"/>
    <xf numFmtId="170" fontId="279" fillId="53" borderId="0" xfId="0" applyNumberFormat="1" applyFont="1" applyFill="1"/>
    <xf numFmtId="0" fontId="303" fillId="56" borderId="30" xfId="0" applyFont="1" applyFill="1" applyBorder="1"/>
    <xf numFmtId="0" fontId="284" fillId="56" borderId="24" xfId="0" applyFont="1" applyFill="1" applyBorder="1"/>
    <xf numFmtId="4" fontId="0" fillId="53" borderId="22" xfId="0" applyNumberFormat="1" applyFont="1" applyFill="1" applyBorder="1"/>
    <xf numFmtId="170" fontId="0" fillId="53" borderId="0" xfId="0" applyNumberFormat="1" applyFont="1" applyFill="1"/>
    <xf numFmtId="0" fontId="0" fillId="53" borderId="24" xfId="0" applyFont="1" applyFill="1" applyBorder="1"/>
    <xf numFmtId="0" fontId="0" fillId="53" borderId="0" xfId="0" applyFill="1"/>
    <xf numFmtId="170" fontId="66" fillId="53" borderId="0" xfId="0" applyNumberFormat="1" applyFont="1" applyFill="1"/>
    <xf numFmtId="0" fontId="159" fillId="46" borderId="0" xfId="1433" applyFont="1" applyFill="1" applyAlignment="1"/>
    <xf numFmtId="0" fontId="161" fillId="0" borderId="0" xfId="1433" applyFont="1" applyAlignment="1"/>
    <xf numFmtId="168" fontId="159" fillId="46" borderId="0" xfId="1433" applyNumberFormat="1" applyFont="1" applyFill="1"/>
    <xf numFmtId="0" fontId="159" fillId="46" borderId="0" xfId="1433" applyFont="1" applyFill="1"/>
    <xf numFmtId="0" fontId="142" fillId="0" borderId="0" xfId="1433" applyFont="1"/>
    <xf numFmtId="0" fontId="159" fillId="0" borderId="0" xfId="1433" applyFont="1"/>
    <xf numFmtId="169" fontId="286" fillId="0" borderId="0" xfId="1433" applyNumberFormat="1" applyFont="1"/>
    <xf numFmtId="168" fontId="142" fillId="46" borderId="0" xfId="1433" applyNumberFormat="1" applyFont="1" applyFill="1" applyAlignment="1">
      <alignment horizontal="left"/>
    </xf>
    <xf numFmtId="168" fontId="142" fillId="0" borderId="0" xfId="1433" applyNumberFormat="1" applyFont="1" applyAlignment="1">
      <alignment horizontal="center"/>
    </xf>
    <xf numFmtId="0" fontId="108" fillId="53" borderId="0" xfId="0" applyFont="1" applyFill="1"/>
    <xf numFmtId="0" fontId="108" fillId="53" borderId="0" xfId="0" applyFont="1" applyFill="1" applyAlignment="1">
      <alignment horizontal="center"/>
    </xf>
    <xf numFmtId="49" fontId="108" fillId="53" borderId="0" xfId="0" applyNumberFormat="1" applyFont="1" applyFill="1" applyAlignment="1">
      <alignment horizontal="center"/>
    </xf>
    <xf numFmtId="0" fontId="304" fillId="53" borderId="0" xfId="0" applyFont="1" applyFill="1"/>
    <xf numFmtId="0" fontId="280" fillId="0" borderId="0" xfId="0" applyFont="1" applyAlignment="1">
      <alignment horizontal="right"/>
    </xf>
    <xf numFmtId="0" fontId="9" fillId="53" borderId="66" xfId="0" applyFont="1" applyFill="1" applyBorder="1" applyAlignment="1">
      <alignment horizontal="center" vertical="center" wrapText="1"/>
    </xf>
    <xf numFmtId="0" fontId="282" fillId="53" borderId="66" xfId="0" applyFont="1" applyFill="1" applyBorder="1" applyAlignment="1">
      <alignment horizontal="center" vertical="center" wrapText="1"/>
    </xf>
    <xf numFmtId="0" fontId="9" fillId="57" borderId="67" xfId="0" applyFont="1" applyFill="1" applyBorder="1" applyAlignment="1">
      <alignment horizontal="center"/>
    </xf>
    <xf numFmtId="194" fontId="9" fillId="64" borderId="66" xfId="1216" applyNumberFormat="1" applyFont="1" applyFill="1" applyBorder="1" applyAlignment="1">
      <alignment horizontal="center"/>
    </xf>
    <xf numFmtId="0" fontId="102" fillId="57" borderId="66" xfId="0" applyFont="1" applyFill="1" applyBorder="1" applyAlignment="1">
      <alignment horizontal="center" vertical="center" wrapText="1"/>
    </xf>
    <xf numFmtId="216" fontId="283" fillId="65" borderId="0" xfId="1426" applyNumberFormat="1" applyFont="1" applyFill="1"/>
    <xf numFmtId="0" fontId="282" fillId="0" borderId="0" xfId="0" applyFont="1" applyAlignment="1">
      <alignment horizontal="centerContinuous" vertical="center" wrapText="1"/>
    </xf>
    <xf numFmtId="170" fontId="175" fillId="57" borderId="0" xfId="0" applyNumberFormat="1" applyFont="1" applyFill="1"/>
    <xf numFmtId="0" fontId="11" fillId="57" borderId="0" xfId="0" applyFont="1" applyFill="1" applyAlignment="1">
      <alignment horizontal="left"/>
    </xf>
    <xf numFmtId="0" fontId="23" fillId="57" borderId="0" xfId="1207" applyFont="1" applyFill="1"/>
    <xf numFmtId="0" fontId="86" fillId="57" borderId="0" xfId="1207" applyFont="1" applyFill="1"/>
    <xf numFmtId="0" fontId="11" fillId="57" borderId="0" xfId="0" applyFont="1" applyFill="1"/>
    <xf numFmtId="169" fontId="51" fillId="57" borderId="0" xfId="0" applyNumberFormat="1" applyFont="1" applyFill="1"/>
    <xf numFmtId="170" fontId="13" fillId="57" borderId="0" xfId="0" applyNumberFormat="1" applyFont="1" applyFill="1" applyAlignment="1">
      <alignment horizontal="right"/>
    </xf>
    <xf numFmtId="0" fontId="23" fillId="53" borderId="0" xfId="1207" applyFill="1"/>
    <xf numFmtId="0" fontId="9" fillId="53" borderId="0" xfId="0" applyFont="1" applyFill="1" applyBorder="1"/>
    <xf numFmtId="0" fontId="23" fillId="53" borderId="0" xfId="1207" applyFill="1" applyAlignment="1">
      <alignment horizontal="centerContinuous"/>
    </xf>
    <xf numFmtId="0" fontId="11" fillId="53" borderId="17" xfId="1207" applyFont="1" applyFill="1" applyBorder="1" applyAlignment="1">
      <alignment horizontal="centerContinuous" vertical="center" wrapText="1"/>
    </xf>
    <xf numFmtId="4" fontId="51" fillId="53" borderId="17" xfId="1207" applyNumberFormat="1" applyFont="1" applyFill="1" applyBorder="1" applyAlignment="1">
      <alignment horizontal="right" wrapText="1"/>
    </xf>
    <xf numFmtId="0" fontId="86" fillId="0" borderId="0" xfId="1207" applyFont="1" applyAlignment="1">
      <alignment horizontal="centerContinuous"/>
    </xf>
    <xf numFmtId="1" fontId="51" fillId="46" borderId="17" xfId="1207" applyNumberFormat="1" applyFont="1" applyFill="1" applyBorder="1" applyAlignment="1">
      <alignment horizontal="right" wrapText="1"/>
    </xf>
    <xf numFmtId="1" fontId="51" fillId="53" borderId="17" xfId="1207" applyNumberFormat="1" applyFont="1" applyFill="1" applyBorder="1" applyAlignment="1">
      <alignment horizontal="right" wrapText="1"/>
    </xf>
    <xf numFmtId="170" fontId="51" fillId="46" borderId="17" xfId="1207" applyNumberFormat="1" applyFont="1" applyFill="1" applyBorder="1" applyAlignment="1">
      <alignment horizontal="right" wrapText="1"/>
    </xf>
    <xf numFmtId="170" fontId="51" fillId="53" borderId="17" xfId="1207" applyNumberFormat="1" applyFont="1" applyFill="1" applyBorder="1" applyAlignment="1">
      <alignment horizontal="right" wrapText="1"/>
    </xf>
    <xf numFmtId="170" fontId="13" fillId="46" borderId="17" xfId="1207" applyNumberFormat="1" applyFont="1" applyFill="1" applyBorder="1" applyAlignment="1">
      <alignment horizontal="right" wrapText="1"/>
    </xf>
    <xf numFmtId="170" fontId="13" fillId="53" borderId="17" xfId="1207" applyNumberFormat="1" applyFont="1" applyFill="1" applyBorder="1" applyAlignment="1">
      <alignment horizontal="right" wrapText="1"/>
    </xf>
    <xf numFmtId="0" fontId="49" fillId="53" borderId="17" xfId="1207" applyFont="1" applyFill="1" applyBorder="1" applyAlignment="1">
      <alignment horizontal="centerContinuous" vertical="center" wrapText="1"/>
    </xf>
    <xf numFmtId="0" fontId="9" fillId="53" borderId="0" xfId="0" applyFont="1" applyFill="1" applyAlignment="1">
      <alignment horizontal="center"/>
    </xf>
    <xf numFmtId="0" fontId="282" fillId="60" borderId="17" xfId="1208" applyFont="1" applyFill="1" applyBorder="1" applyAlignment="1">
      <alignment horizontal="center" wrapText="1"/>
    </xf>
    <xf numFmtId="4" fontId="305" fillId="60" borderId="17" xfId="1208" applyNumberFormat="1" applyFont="1" applyFill="1" applyBorder="1" applyAlignment="1">
      <alignment wrapText="1"/>
    </xf>
    <xf numFmtId="0" fontId="139" fillId="53" borderId="84" xfId="1183" applyFont="1" applyFill="1" applyBorder="1" applyAlignment="1">
      <alignment wrapText="1"/>
    </xf>
    <xf numFmtId="0" fontId="139" fillId="53" borderId="119" xfId="1183" applyFont="1" applyFill="1" applyBorder="1" applyAlignment="1"/>
    <xf numFmtId="0" fontId="139" fillId="53" borderId="85" xfId="1183" applyFont="1" applyFill="1" applyBorder="1" applyAlignment="1"/>
    <xf numFmtId="202" fontId="139" fillId="53" borderId="120" xfId="1183" applyNumberFormat="1" applyFont="1" applyFill="1" applyBorder="1" applyAlignment="1">
      <alignment horizontal="right"/>
    </xf>
    <xf numFmtId="202" fontId="139" fillId="53" borderId="85" xfId="1183" applyNumberFormat="1" applyFont="1" applyFill="1" applyBorder="1" applyAlignment="1">
      <alignment horizontal="right"/>
    </xf>
    <xf numFmtId="202" fontId="139" fillId="53" borderId="87" xfId="1183" applyNumberFormat="1" applyFont="1" applyFill="1" applyBorder="1" applyAlignment="1">
      <alignment horizontal="right"/>
    </xf>
    <xf numFmtId="0" fontId="141" fillId="53" borderId="86" xfId="1183" applyFont="1" applyFill="1" applyBorder="1" applyAlignment="1"/>
    <xf numFmtId="202" fontId="139" fillId="53" borderId="85" xfId="1183" applyNumberFormat="1" applyFont="1" applyFill="1" applyBorder="1" applyAlignment="1">
      <alignment horizontal="right" wrapText="1"/>
    </xf>
    <xf numFmtId="202" fontId="141" fillId="53" borderId="87" xfId="1183" applyNumberFormat="1" applyFont="1" applyFill="1" applyBorder="1" applyAlignment="1">
      <alignment horizontal="right"/>
    </xf>
    <xf numFmtId="168" fontId="139" fillId="53" borderId="86" xfId="1183" applyNumberFormat="1" applyFont="1" applyFill="1" applyBorder="1" applyAlignment="1"/>
    <xf numFmtId="166" fontId="139" fillId="53" borderId="85" xfId="1183" applyNumberFormat="1" applyFont="1" applyFill="1" applyBorder="1" applyAlignment="1"/>
    <xf numFmtId="166" fontId="139" fillId="53" borderId="87" xfId="1183" applyNumberFormat="1" applyFont="1" applyFill="1" applyBorder="1" applyAlignment="1"/>
    <xf numFmtId="169" fontId="139" fillId="53" borderId="84" xfId="1183" applyNumberFormat="1" applyFont="1" applyFill="1" applyBorder="1" applyAlignment="1">
      <alignment horizontal="right"/>
    </xf>
    <xf numFmtId="164" fontId="49" fillId="0" borderId="0" xfId="0" applyNumberFormat="1" applyFont="1" applyAlignment="1">
      <alignment horizontal="center"/>
    </xf>
    <xf numFmtId="3" fontId="306" fillId="53" borderId="48" xfId="1176" applyNumberFormat="1" applyFont="1" applyFill="1" applyBorder="1" applyAlignment="1">
      <alignment horizontal="right" wrapText="1"/>
    </xf>
    <xf numFmtId="0" fontId="49" fillId="0" borderId="0" xfId="1176" applyFont="1" applyFill="1" applyAlignment="1">
      <alignment horizontal="centerContinuous" wrapText="1"/>
    </xf>
    <xf numFmtId="0" fontId="64" fillId="46" borderId="17" xfId="1176" applyFont="1" applyFill="1" applyBorder="1" applyAlignment="1">
      <alignment horizontal="center" wrapText="1"/>
    </xf>
    <xf numFmtId="3" fontId="64" fillId="46" borderId="17" xfId="1176" applyNumberFormat="1" applyFont="1" applyFill="1" applyBorder="1" applyAlignment="1">
      <alignment horizontal="right" wrapText="1"/>
    </xf>
    <xf numFmtId="3" fontId="64" fillId="53" borderId="17" xfId="1176" applyNumberFormat="1" applyFont="1" applyFill="1" applyBorder="1" applyAlignment="1">
      <alignment horizontal="right" wrapText="1"/>
    </xf>
    <xf numFmtId="170" fontId="64" fillId="53" borderId="17" xfId="1176" applyNumberFormat="1" applyFont="1" applyFill="1" applyBorder="1" applyAlignment="1">
      <alignment horizontal="right" wrapText="1"/>
    </xf>
    <xf numFmtId="170" fontId="64" fillId="53" borderId="0" xfId="1176" applyNumberFormat="1" applyFont="1" applyFill="1" applyBorder="1" applyAlignment="1">
      <alignment horizontal="right" wrapText="1"/>
    </xf>
    <xf numFmtId="0" fontId="301" fillId="46" borderId="0" xfId="1176" applyFont="1" applyFill="1" applyAlignment="1">
      <alignment horizontal="center" vertical="center" wrapText="1"/>
    </xf>
    <xf numFmtId="4" fontId="9" fillId="53" borderId="0" xfId="1207" applyNumberFormat="1" applyFont="1" applyFill="1"/>
    <xf numFmtId="0" fontId="11" fillId="60" borderId="17" xfId="1207" applyFont="1" applyFill="1" applyBorder="1" applyAlignment="1">
      <alignment horizontal="centerContinuous" vertical="center" wrapText="1"/>
    </xf>
    <xf numFmtId="1" fontId="51" fillId="60" borderId="17" xfId="1207" applyNumberFormat="1" applyFont="1" applyFill="1" applyBorder="1" applyAlignment="1">
      <alignment horizontal="right" wrapText="1"/>
    </xf>
    <xf numFmtId="170" fontId="51" fillId="60" borderId="17" xfId="1207" applyNumberFormat="1" applyFont="1" applyFill="1" applyBorder="1" applyAlignment="1">
      <alignment horizontal="right" wrapText="1"/>
    </xf>
    <xf numFmtId="4" fontId="51" fillId="60" borderId="17" xfId="1207" applyNumberFormat="1" applyFont="1" applyFill="1" applyBorder="1" applyAlignment="1">
      <alignment horizontal="right" wrapText="1"/>
    </xf>
    <xf numFmtId="170" fontId="13" fillId="60" borderId="17" xfId="1207" applyNumberFormat="1" applyFont="1" applyFill="1" applyBorder="1" applyAlignment="1">
      <alignment horizontal="right" wrapText="1"/>
    </xf>
    <xf numFmtId="0" fontId="293" fillId="60" borderId="20" xfId="0" applyFont="1" applyFill="1" applyBorder="1" applyAlignment="1">
      <alignment horizontal="center"/>
    </xf>
    <xf numFmtId="1" fontId="293" fillId="60" borderId="19" xfId="0" applyNumberFormat="1" applyFont="1" applyFill="1" applyBorder="1" applyAlignment="1">
      <alignment horizontal="center"/>
    </xf>
    <xf numFmtId="0" fontId="293" fillId="60" borderId="22" xfId="0" applyFont="1" applyFill="1" applyBorder="1" applyAlignment="1">
      <alignment horizontal="center"/>
    </xf>
    <xf numFmtId="0" fontId="51" fillId="53" borderId="17" xfId="1207" applyFont="1" applyFill="1" applyBorder="1" applyAlignment="1">
      <alignment horizontal="centerContinuous" vertical="center" wrapText="1"/>
    </xf>
    <xf numFmtId="0" fontId="67" fillId="53" borderId="0" xfId="1217" applyFont="1" applyFill="1" applyBorder="1" applyAlignment="1">
      <alignment horizontal="centerContinuous" wrapText="1"/>
    </xf>
    <xf numFmtId="0" fontId="23" fillId="53" borderId="0" xfId="1207" applyFont="1" applyFill="1" applyAlignment="1">
      <alignment horizontal="centerContinuous"/>
    </xf>
    <xf numFmtId="0" fontId="86" fillId="53" borderId="0" xfId="1207" applyFont="1" applyFill="1" applyAlignment="1">
      <alignment horizontal="centerContinuous"/>
    </xf>
    <xf numFmtId="0" fontId="11" fillId="46" borderId="0" xfId="1207" applyFont="1" applyFill="1" applyBorder="1" applyAlignment="1">
      <alignment horizontal="left" wrapText="1"/>
    </xf>
    <xf numFmtId="0" fontId="9" fillId="46" borderId="0" xfId="1207" applyFont="1" applyFill="1" applyBorder="1" applyAlignment="1">
      <alignment horizontal="center" wrapText="1"/>
    </xf>
    <xf numFmtId="4" fontId="51" fillId="46" borderId="0" xfId="1207" applyNumberFormat="1" applyFont="1" applyFill="1" applyBorder="1" applyAlignment="1">
      <alignment horizontal="right" wrapText="1"/>
    </xf>
    <xf numFmtId="4" fontId="51" fillId="60" borderId="0" xfId="1207" applyNumberFormat="1" applyFont="1" applyFill="1" applyBorder="1" applyAlignment="1">
      <alignment horizontal="right" wrapText="1"/>
    </xf>
    <xf numFmtId="4" fontId="51" fillId="53" borderId="0" xfId="1207" applyNumberFormat="1" applyFont="1" applyFill="1" applyBorder="1" applyAlignment="1">
      <alignment horizontal="right" wrapText="1"/>
    </xf>
    <xf numFmtId="173" fontId="305" fillId="60" borderId="17" xfId="1215" applyNumberFormat="1" applyFont="1" applyFill="1" applyBorder="1" applyAlignment="1">
      <alignment horizontal="right" wrapText="1"/>
    </xf>
    <xf numFmtId="4" fontId="60" fillId="53" borderId="17" xfId="1176" applyNumberFormat="1" applyFont="1" applyFill="1" applyBorder="1" applyAlignment="1">
      <alignment horizontal="right" wrapText="1"/>
    </xf>
    <xf numFmtId="10" fontId="60" fillId="53" borderId="17" xfId="1176" applyNumberFormat="1" applyFont="1" applyFill="1" applyBorder="1" applyAlignment="1">
      <alignment horizontal="right" wrapText="1"/>
    </xf>
    <xf numFmtId="170" fontId="306" fillId="53" borderId="0" xfId="1176" applyNumberFormat="1" applyFont="1" applyFill="1" applyBorder="1" applyAlignment="1">
      <alignment horizontal="right" wrapText="1"/>
    </xf>
    <xf numFmtId="0" fontId="11" fillId="53" borderId="0" xfId="0" applyFont="1" applyFill="1" applyBorder="1"/>
    <xf numFmtId="0" fontId="9" fillId="0" borderId="22" xfId="0" applyFont="1" applyBorder="1" applyAlignment="1">
      <alignment horizontal="center" vertical="top" wrapText="1"/>
    </xf>
    <xf numFmtId="0" fontId="9" fillId="0" borderId="25" xfId="0" applyFont="1" applyBorder="1" applyAlignment="1">
      <alignment vertical="top" wrapText="1"/>
    </xf>
    <xf numFmtId="0" fontId="307" fillId="0" borderId="0" xfId="0" applyFont="1" applyBorder="1"/>
    <xf numFmtId="4" fontId="305" fillId="0" borderId="17" xfId="0" applyNumberFormat="1" applyFont="1" applyBorder="1"/>
    <xf numFmtId="0" fontId="293" fillId="0" borderId="0" xfId="0" applyFont="1" applyBorder="1"/>
    <xf numFmtId="0" fontId="51" fillId="60" borderId="17" xfId="0" applyFont="1" applyFill="1" applyBorder="1" applyAlignment="1">
      <alignment horizontal="left" wrapText="1"/>
    </xf>
    <xf numFmtId="0" fontId="51" fillId="60" borderId="17" xfId="0" applyFont="1" applyFill="1" applyBorder="1" applyAlignment="1">
      <alignment horizontal="center" wrapText="1"/>
    </xf>
    <xf numFmtId="0" fontId="51" fillId="60" borderId="17" xfId="0" applyFont="1" applyFill="1" applyBorder="1" applyAlignment="1">
      <alignment horizontal="center"/>
    </xf>
    <xf numFmtId="173" fontId="51" fillId="60" borderId="17" xfId="1215" applyNumberFormat="1" applyFont="1" applyFill="1" applyBorder="1" applyAlignment="1">
      <alignment horizontal="right" wrapText="1"/>
    </xf>
    <xf numFmtId="4" fontId="51" fillId="60" borderId="17" xfId="0" applyNumberFormat="1" applyFont="1" applyFill="1" applyBorder="1"/>
    <xf numFmtId="0" fontId="280" fillId="60" borderId="0" xfId="0" applyFont="1" applyFill="1" applyAlignment="1">
      <alignment horizontal="right"/>
    </xf>
    <xf numFmtId="1" fontId="280" fillId="60" borderId="0" xfId="0" applyNumberFormat="1" applyFont="1" applyFill="1" applyAlignment="1">
      <alignment horizontal="left"/>
    </xf>
    <xf numFmtId="0" fontId="11" fillId="0" borderId="17" xfId="0" applyFont="1" applyBorder="1" applyAlignment="1">
      <alignment vertical="top"/>
    </xf>
    <xf numFmtId="0" fontId="9" fillId="0" borderId="17" xfId="0" applyFont="1" applyBorder="1" applyAlignment="1">
      <alignment horizontal="centerContinuous" vertical="top" wrapText="1"/>
    </xf>
    <xf numFmtId="0" fontId="9" fillId="0" borderId="17" xfId="0" applyFont="1" applyBorder="1" applyAlignment="1">
      <alignment vertical="top"/>
    </xf>
    <xf numFmtId="0" fontId="11" fillId="0" borderId="17" xfId="0" applyFont="1" applyBorder="1" applyAlignment="1"/>
    <xf numFmtId="0" fontId="11" fillId="0" borderId="17" xfId="0" applyFont="1" applyBorder="1" applyAlignment="1">
      <alignment horizontal="right"/>
    </xf>
    <xf numFmtId="0" fontId="33" fillId="60" borderId="17" xfId="1208" applyFont="1" applyFill="1" applyBorder="1" applyAlignment="1">
      <alignment horizontal="center" wrapText="1"/>
    </xf>
    <xf numFmtId="173" fontId="159" fillId="60" borderId="17" xfId="1215" applyNumberFormat="1" applyFont="1" applyFill="1" applyBorder="1" applyAlignment="1">
      <alignment horizontal="center" wrapText="1"/>
    </xf>
    <xf numFmtId="0" fontId="33" fillId="60" borderId="17" xfId="1208" applyFont="1" applyFill="1" applyBorder="1" applyAlignment="1">
      <alignment wrapText="1"/>
    </xf>
    <xf numFmtId="0" fontId="33" fillId="60" borderId="17" xfId="0" applyFont="1" applyFill="1" applyBorder="1" applyAlignment="1">
      <alignment horizontal="center" wrapText="1"/>
    </xf>
    <xf numFmtId="0" fontId="290" fillId="60" borderId="17" xfId="1208" applyFont="1" applyFill="1" applyBorder="1" applyAlignment="1">
      <alignment horizontal="center" wrapText="1"/>
    </xf>
    <xf numFmtId="173" fontId="285" fillId="60" borderId="17" xfId="1215" applyNumberFormat="1" applyFont="1" applyFill="1" applyBorder="1" applyAlignment="1">
      <alignment horizontal="center" wrapText="1"/>
    </xf>
    <xf numFmtId="173" fontId="159" fillId="60" borderId="23" xfId="1215" applyNumberFormat="1" applyFont="1" applyFill="1" applyBorder="1" applyAlignment="1">
      <alignment horizontal="center" wrapText="1"/>
    </xf>
    <xf numFmtId="173" fontId="33" fillId="60" borderId="22" xfId="1215" applyNumberFormat="1" applyFont="1" applyFill="1" applyBorder="1" applyAlignment="1">
      <alignment horizontal="center" wrapText="1"/>
    </xf>
    <xf numFmtId="173" fontId="159" fillId="60" borderId="22" xfId="1215" applyNumberFormat="1" applyFont="1" applyFill="1" applyBorder="1" applyAlignment="1">
      <alignment horizontal="center" wrapText="1"/>
    </xf>
    <xf numFmtId="0" fontId="290" fillId="60" borderId="17" xfId="1208" applyFont="1" applyFill="1" applyBorder="1" applyAlignment="1">
      <alignment wrapText="1"/>
    </xf>
    <xf numFmtId="0" fontId="290" fillId="60" borderId="17" xfId="0" applyFont="1" applyFill="1" applyBorder="1" applyAlignment="1">
      <alignment horizontal="center" wrapText="1"/>
    </xf>
    <xf numFmtId="0" fontId="33" fillId="53" borderId="0" xfId="0" applyFont="1" applyFill="1"/>
    <xf numFmtId="0" fontId="255" fillId="53" borderId="0" xfId="0" applyFont="1" applyFill="1"/>
    <xf numFmtId="0" fontId="142" fillId="53" borderId="0" xfId="0" applyFont="1" applyFill="1"/>
    <xf numFmtId="10" fontId="255" fillId="53" borderId="0" xfId="0" applyNumberFormat="1" applyFont="1" applyFill="1"/>
    <xf numFmtId="0" fontId="13" fillId="0" borderId="24" xfId="0" applyFont="1" applyBorder="1" applyAlignment="1">
      <alignment horizontal="center" vertical="top" wrapText="1"/>
    </xf>
    <xf numFmtId="0" fontId="11" fillId="53" borderId="0" xfId="0" applyFont="1" applyFill="1" applyBorder="1" applyAlignment="1">
      <alignment horizontal="centerContinuous" vertical="top" wrapText="1"/>
    </xf>
    <xf numFmtId="0" fontId="11" fillId="53" borderId="29" xfId="0" applyFont="1" applyFill="1" applyBorder="1" applyAlignment="1">
      <alignment horizontal="centerContinuous" vertical="top" wrapText="1"/>
    </xf>
    <xf numFmtId="0" fontId="11" fillId="53" borderId="27" xfId="0" applyFont="1" applyFill="1" applyBorder="1" applyAlignment="1">
      <alignment horizontal="centerContinuous" vertical="top" wrapText="1"/>
    </xf>
    <xf numFmtId="0" fontId="175" fillId="53" borderId="0" xfId="0" applyFont="1" applyFill="1" applyBorder="1" applyAlignment="1">
      <alignment horizontal="center" vertical="top" wrapText="1"/>
    </xf>
    <xf numFmtId="0" fontId="11" fillId="53" borderId="0" xfId="0" applyFont="1" applyFill="1" applyBorder="1" applyAlignment="1">
      <alignment horizontal="center" vertical="top" wrapText="1"/>
    </xf>
    <xf numFmtId="164" fontId="175" fillId="53" borderId="0" xfId="0" applyNumberFormat="1" applyFont="1" applyFill="1"/>
    <xf numFmtId="0" fontId="66" fillId="53" borderId="0" xfId="0" applyFont="1" applyFill="1" applyBorder="1" applyAlignment="1">
      <alignment horizontal="centerContinuous" vertical="center" wrapText="1"/>
    </xf>
    <xf numFmtId="0" fontId="14" fillId="53" borderId="0" xfId="1208" applyFont="1" applyFill="1" applyBorder="1" applyAlignment="1">
      <alignment horizontal="center" wrapText="1"/>
    </xf>
    <xf numFmtId="201" fontId="9" fillId="53" borderId="0" xfId="1208" applyNumberFormat="1" applyFont="1" applyFill="1" applyBorder="1" applyAlignment="1">
      <alignment horizontal="center" wrapText="1"/>
    </xf>
    <xf numFmtId="4" fontId="13" fillId="53" borderId="0" xfId="1208" applyNumberFormat="1" applyFont="1" applyFill="1" applyBorder="1" applyAlignment="1">
      <alignment wrapText="1"/>
    </xf>
    <xf numFmtId="164" fontId="280" fillId="53" borderId="0" xfId="0" applyNumberFormat="1" applyFont="1" applyFill="1"/>
    <xf numFmtId="14" fontId="9" fillId="0" borderId="6" xfId="0" applyNumberFormat="1" applyFont="1" applyBorder="1" applyAlignment="1">
      <alignment horizontal="center"/>
    </xf>
    <xf numFmtId="0" fontId="9" fillId="46" borderId="6" xfId="1208" applyFont="1" applyFill="1" applyBorder="1" applyAlignment="1">
      <alignment horizontal="center" vertical="center" wrapText="1"/>
    </xf>
    <xf numFmtId="4" fontId="51" fillId="46" borderId="26" xfId="1208" applyNumberFormat="1" applyFont="1" applyFill="1" applyBorder="1" applyAlignment="1">
      <alignment wrapText="1"/>
    </xf>
    <xf numFmtId="0" fontId="282" fillId="60" borderId="26" xfId="1208" applyFont="1" applyFill="1" applyBorder="1" applyAlignment="1">
      <alignment horizontal="center" wrapText="1"/>
    </xf>
    <xf numFmtId="0" fontId="51" fillId="46" borderId="17" xfId="1208" applyFont="1" applyFill="1" applyBorder="1" applyAlignment="1">
      <alignment horizontal="right" wrapText="1"/>
    </xf>
    <xf numFmtId="164" fontId="49" fillId="53" borderId="0" xfId="0" applyNumberFormat="1" applyFont="1" applyFill="1"/>
    <xf numFmtId="4" fontId="280" fillId="53" borderId="0" xfId="0" applyNumberFormat="1" applyFont="1" applyFill="1"/>
    <xf numFmtId="0" fontId="51" fillId="0" borderId="0" xfId="0" applyFont="1" applyAlignment="1">
      <alignment horizontal="left"/>
    </xf>
    <xf numFmtId="172" fontId="51" fillId="0" borderId="0" xfId="0" applyNumberFormat="1" applyFont="1"/>
    <xf numFmtId="0" fontId="0" fillId="0" borderId="33" xfId="0" applyFont="1" applyBorder="1" applyAlignment="1">
      <alignment horizontal="right" vertical="center" wrapText="1"/>
    </xf>
    <xf numFmtId="0" fontId="0" fillId="0" borderId="6" xfId="0" applyFont="1" applyBorder="1" applyAlignment="1">
      <alignment horizontal="center" vertical="center" wrapText="1"/>
    </xf>
    <xf numFmtId="168" fontId="8" fillId="0" borderId="0" xfId="1208" applyNumberFormat="1" applyFont="1" applyBorder="1" applyAlignment="1">
      <alignment vertical="top" wrapText="1"/>
    </xf>
    <xf numFmtId="168" fontId="8" fillId="0" borderId="0" xfId="1208" applyNumberFormat="1" applyFont="1" applyBorder="1" applyAlignment="1">
      <alignment horizontal="right" vertical="top" wrapText="1"/>
    </xf>
    <xf numFmtId="0" fontId="51" fillId="46" borderId="17" xfId="1208" applyFont="1" applyFill="1" applyBorder="1" applyAlignment="1">
      <alignment horizontal="centerContinuous" wrapText="1"/>
    </xf>
    <xf numFmtId="0" fontId="0" fillId="0" borderId="17" xfId="0" applyFont="1" applyBorder="1" applyAlignment="1">
      <alignment horizontal="centerContinuous" vertical="center" wrapText="1"/>
    </xf>
    <xf numFmtId="0" fontId="0" fillId="0" borderId="17" xfId="0" applyFont="1" applyBorder="1"/>
    <xf numFmtId="0" fontId="80" fillId="57" borderId="0" xfId="0" applyFont="1" applyFill="1" applyBorder="1" applyAlignment="1">
      <alignment horizontal="left" vertical="top"/>
    </xf>
    <xf numFmtId="0" fontId="11" fillId="57" borderId="0" xfId="0" applyFont="1" applyFill="1" applyBorder="1" applyAlignment="1">
      <alignment horizontal="centerContinuous" vertical="top" wrapText="1"/>
    </xf>
    <xf numFmtId="0" fontId="11" fillId="0" borderId="17" xfId="0" applyFont="1" applyBorder="1" applyAlignment="1">
      <alignment horizontal="center" vertical="center"/>
    </xf>
    <xf numFmtId="0" fontId="51" fillId="0" borderId="17" xfId="0" applyFont="1" applyBorder="1" applyAlignment="1">
      <alignment horizontal="left"/>
    </xf>
    <xf numFmtId="0" fontId="11" fillId="0" borderId="33" xfId="0" applyFont="1" applyBorder="1"/>
    <xf numFmtId="0" fontId="11" fillId="0" borderId="26" xfId="0" applyFont="1" applyBorder="1"/>
    <xf numFmtId="0" fontId="11" fillId="0" borderId="28" xfId="0" applyFont="1" applyBorder="1" applyAlignment="1">
      <alignment horizontal="centerContinuous" vertical="center"/>
    </xf>
    <xf numFmtId="0" fontId="11" fillId="0" borderId="27" xfId="0" applyFont="1" applyBorder="1" applyAlignment="1">
      <alignment horizontal="centerContinuous" vertical="center"/>
    </xf>
    <xf numFmtId="0" fontId="11" fillId="0" borderId="30" xfId="0" applyFont="1" applyBorder="1" applyAlignment="1">
      <alignment horizontal="centerContinuous" vertical="center"/>
    </xf>
    <xf numFmtId="0" fontId="11" fillId="0" borderId="25" xfId="0" applyFont="1" applyBorder="1" applyAlignment="1">
      <alignment horizontal="centerContinuous" vertical="center"/>
    </xf>
    <xf numFmtId="0" fontId="11" fillId="0" borderId="17" xfId="0" applyFont="1" applyBorder="1" applyAlignment="1">
      <alignment horizontal="centerContinuous" vertical="center" wrapText="1"/>
    </xf>
    <xf numFmtId="170" fontId="51" fillId="0" borderId="17" xfId="0" applyNumberFormat="1" applyFont="1" applyBorder="1"/>
    <xf numFmtId="14" fontId="9" fillId="0" borderId="17" xfId="0" applyNumberFormat="1" applyFont="1" applyBorder="1" applyAlignment="1">
      <alignment horizontal="center" wrapText="1"/>
    </xf>
    <xf numFmtId="0" fontId="51" fillId="46" borderId="17" xfId="0" applyFont="1" applyFill="1" applyBorder="1" applyAlignment="1">
      <alignment horizontal="center" vertical="center" wrapText="1"/>
    </xf>
    <xf numFmtId="168" fontId="11" fillId="0" borderId="0" xfId="1176" applyNumberFormat="1" applyFont="1"/>
    <xf numFmtId="4" fontId="279" fillId="56" borderId="0" xfId="0" applyNumberFormat="1" applyFont="1" applyFill="1"/>
    <xf numFmtId="170" fontId="159" fillId="0" borderId="33" xfId="0" applyNumberFormat="1" applyFont="1" applyFill="1" applyBorder="1" applyAlignment="1">
      <alignment horizontal="center"/>
    </xf>
    <xf numFmtId="0" fontId="11" fillId="56" borderId="28" xfId="1176" applyFont="1" applyFill="1" applyBorder="1" applyAlignment="1">
      <alignment horizontal="center"/>
    </xf>
    <xf numFmtId="0" fontId="11" fillId="56" borderId="30" xfId="1176" applyFont="1" applyFill="1" applyBorder="1" applyAlignment="1">
      <alignment horizontal="center"/>
    </xf>
    <xf numFmtId="0" fontId="293" fillId="56" borderId="24" xfId="1176" applyFont="1" applyFill="1" applyBorder="1" applyAlignment="1">
      <alignment horizontal="center"/>
    </xf>
    <xf numFmtId="0" fontId="293" fillId="56" borderId="25" xfId="1176" applyFont="1" applyFill="1" applyBorder="1" applyAlignment="1">
      <alignment horizontal="center"/>
    </xf>
    <xf numFmtId="0" fontId="311" fillId="56" borderId="27" xfId="1176" applyFont="1" applyFill="1" applyBorder="1" applyAlignment="1">
      <alignment horizontal="center"/>
    </xf>
    <xf numFmtId="0" fontId="310" fillId="56" borderId="29" xfId="0" applyFont="1" applyFill="1" applyBorder="1" applyAlignment="1">
      <alignment horizontal="right"/>
    </xf>
    <xf numFmtId="0" fontId="24" fillId="57" borderId="0" xfId="1205" applyFont="1" applyFill="1"/>
    <xf numFmtId="0" fontId="9" fillId="57" borderId="0" xfId="1205" applyFont="1" applyFill="1"/>
    <xf numFmtId="10" fontId="9" fillId="57" borderId="0" xfId="1205" applyNumberFormat="1" applyFont="1" applyFill="1"/>
    <xf numFmtId="3" fontId="24" fillId="57" borderId="0" xfId="1205" applyNumberFormat="1" applyFont="1" applyFill="1"/>
    <xf numFmtId="0" fontId="273" fillId="57" borderId="0" xfId="1205" applyFill="1"/>
    <xf numFmtId="0" fontId="9" fillId="57" borderId="23" xfId="1205" applyFont="1" applyFill="1" applyBorder="1" applyAlignment="1">
      <alignment horizontal="centerContinuous" wrapText="1"/>
    </xf>
    <xf numFmtId="10" fontId="9" fillId="57" borderId="23" xfId="1205" applyNumberFormat="1" applyFont="1" applyFill="1" applyBorder="1" applyAlignment="1">
      <alignment horizontal="centerContinuous" wrapText="1"/>
    </xf>
    <xf numFmtId="0" fontId="9" fillId="57" borderId="17" xfId="1205" applyFont="1" applyFill="1" applyBorder="1" applyAlignment="1">
      <alignment horizontal="center" wrapText="1"/>
    </xf>
    <xf numFmtId="10" fontId="10" fillId="57" borderId="17" xfId="1205" applyNumberFormat="1" applyFont="1" applyFill="1" applyBorder="1" applyAlignment="1">
      <alignment horizontal="center" vertical="top" wrapText="1"/>
    </xf>
    <xf numFmtId="0" fontId="10" fillId="57" borderId="17" xfId="1205" applyFont="1" applyFill="1" applyBorder="1" applyAlignment="1">
      <alignment horizontal="center" vertical="top" wrapText="1"/>
    </xf>
    <xf numFmtId="0" fontId="9" fillId="57" borderId="17" xfId="1205" applyFont="1" applyFill="1" applyBorder="1" applyAlignment="1">
      <alignment horizontal="center" vertical="top" wrapText="1"/>
    </xf>
    <xf numFmtId="0" fontId="14" fillId="57" borderId="17" xfId="1205" applyFont="1" applyFill="1" applyBorder="1" applyAlignment="1">
      <alignment horizontal="center" vertical="top" wrapText="1"/>
    </xf>
    <xf numFmtId="10" fontId="9" fillId="57" borderId="17" xfId="1205" applyNumberFormat="1" applyFont="1" applyFill="1" applyBorder="1" applyAlignment="1">
      <alignment horizontal="center" vertical="top" wrapText="1"/>
    </xf>
    <xf numFmtId="4" fontId="9" fillId="57" borderId="17" xfId="1205" applyNumberFormat="1" applyFont="1" applyFill="1" applyBorder="1" applyAlignment="1">
      <alignment horizontal="center" wrapText="1"/>
    </xf>
    <xf numFmtId="10" fontId="9" fillId="57" borderId="17" xfId="1205" applyNumberFormat="1" applyFont="1" applyFill="1" applyBorder="1" applyAlignment="1">
      <alignment horizontal="center" wrapText="1"/>
    </xf>
    <xf numFmtId="3" fontId="9" fillId="57" borderId="17" xfId="1205" applyNumberFormat="1" applyFont="1" applyFill="1" applyBorder="1" applyAlignment="1">
      <alignment horizontal="center" wrapText="1"/>
    </xf>
    <xf numFmtId="0" fontId="3" fillId="57" borderId="0" xfId="1205" applyFont="1" applyFill="1"/>
    <xf numFmtId="3" fontId="282" fillId="53" borderId="17" xfId="1205" applyNumberFormat="1" applyFont="1" applyFill="1" applyBorder="1" applyAlignment="1">
      <alignment horizontal="center" wrapText="1"/>
    </xf>
    <xf numFmtId="0" fontId="156" fillId="0" borderId="0" xfId="1434" applyFont="1" applyAlignment="1">
      <alignment horizontal="centerContinuous"/>
    </xf>
    <xf numFmtId="10" fontId="156" fillId="0" borderId="0" xfId="1434" applyNumberFormat="1" applyFont="1" applyAlignment="1">
      <alignment horizontal="centerContinuous"/>
    </xf>
    <xf numFmtId="0" fontId="2" fillId="0" borderId="0" xfId="1434"/>
    <xf numFmtId="0" fontId="2" fillId="0" borderId="0" xfId="1434" applyFont="1"/>
    <xf numFmtId="10" fontId="2" fillId="0" borderId="0" xfId="1434" applyNumberFormat="1"/>
    <xf numFmtId="0" fontId="49" fillId="0" borderId="0" xfId="1434" applyFont="1"/>
    <xf numFmtId="0" fontId="24" fillId="0" borderId="0" xfId="1434" applyFont="1"/>
    <xf numFmtId="0" fontId="9" fillId="0" borderId="0" xfId="1434" applyFont="1"/>
    <xf numFmtId="10" fontId="9" fillId="0" borderId="0" xfId="1434" applyNumberFormat="1" applyFont="1"/>
    <xf numFmtId="3" fontId="24" fillId="0" borderId="0" xfId="1434" applyNumberFormat="1" applyFont="1"/>
    <xf numFmtId="0" fontId="11" fillId="0" borderId="0" xfId="1434" applyFont="1"/>
    <xf numFmtId="0" fontId="11" fillId="46" borderId="0" xfId="1434" applyFont="1" applyFill="1"/>
    <xf numFmtId="0" fontId="9" fillId="0" borderId="23" xfId="1434" applyFont="1" applyBorder="1" applyAlignment="1">
      <alignment horizontal="centerContinuous" wrapText="1"/>
    </xf>
    <xf numFmtId="10" fontId="9" fillId="0" borderId="23" xfId="1434" applyNumberFormat="1" applyFont="1" applyBorder="1" applyAlignment="1">
      <alignment horizontal="centerContinuous" wrapText="1"/>
    </xf>
    <xf numFmtId="0" fontId="9" fillId="0" borderId="17" xfId="1434" applyFont="1" applyBorder="1" applyAlignment="1">
      <alignment horizontal="centerContinuous" wrapText="1"/>
    </xf>
    <xf numFmtId="0" fontId="9" fillId="0" borderId="17" xfId="1434" applyFont="1" applyBorder="1" applyAlignment="1">
      <alignment horizontal="center" wrapText="1"/>
    </xf>
    <xf numFmtId="10" fontId="10" fillId="0" borderId="17" xfId="1434" applyNumberFormat="1" applyFont="1" applyBorder="1" applyAlignment="1">
      <alignment horizontal="center" vertical="top" wrapText="1"/>
    </xf>
    <xf numFmtId="0" fontId="10" fillId="0" borderId="17" xfId="1434" applyFont="1" applyBorder="1" applyAlignment="1">
      <alignment horizontal="center" vertical="top" wrapText="1"/>
    </xf>
    <xf numFmtId="0" fontId="9" fillId="0" borderId="17" xfId="1434" applyFont="1" applyBorder="1" applyAlignment="1">
      <alignment horizontal="center" vertical="top" wrapText="1"/>
    </xf>
    <xf numFmtId="0" fontId="14" fillId="0" borderId="17" xfId="1434" applyFont="1" applyBorder="1" applyAlignment="1">
      <alignment horizontal="center" vertical="top" wrapText="1"/>
    </xf>
    <xf numFmtId="10" fontId="9" fillId="44" borderId="17" xfId="1434" applyNumberFormat="1" applyFont="1" applyFill="1" applyBorder="1" applyAlignment="1">
      <alignment horizontal="center" vertical="top" wrapText="1"/>
    </xf>
    <xf numFmtId="0" fontId="9" fillId="44" borderId="17" xfId="1434" applyFont="1" applyFill="1" applyBorder="1" applyAlignment="1">
      <alignment horizontal="center" vertical="top" wrapText="1"/>
    </xf>
    <xf numFmtId="0" fontId="9" fillId="46" borderId="17" xfId="1434" applyFont="1" applyFill="1" applyBorder="1" applyAlignment="1">
      <alignment horizontal="center" vertical="top" wrapText="1"/>
    </xf>
    <xf numFmtId="10" fontId="9" fillId="44" borderId="17" xfId="1434" applyNumberFormat="1" applyFont="1" applyFill="1" applyBorder="1" applyAlignment="1">
      <alignment horizontal="center" wrapText="1"/>
    </xf>
    <xf numFmtId="0" fontId="9" fillId="46" borderId="17" xfId="1434" applyFont="1" applyFill="1" applyBorder="1" applyAlignment="1">
      <alignment horizontal="center" wrapText="1"/>
    </xf>
    <xf numFmtId="4" fontId="9" fillId="46" borderId="17" xfId="1434" applyNumberFormat="1" applyFont="1" applyFill="1" applyBorder="1" applyAlignment="1">
      <alignment horizontal="center" wrapText="1"/>
    </xf>
    <xf numFmtId="3" fontId="9" fillId="46" borderId="17" xfId="1434" applyNumberFormat="1" applyFont="1" applyFill="1" applyBorder="1" applyAlignment="1">
      <alignment horizontal="center" wrapText="1"/>
    </xf>
    <xf numFmtId="0" fontId="9" fillId="46" borderId="0" xfId="1434" applyFont="1" applyFill="1" applyBorder="1" applyAlignment="1">
      <alignment horizontal="center" wrapText="1"/>
    </xf>
    <xf numFmtId="4" fontId="9" fillId="46" borderId="0" xfId="1434" applyNumberFormat="1" applyFont="1" applyFill="1" applyBorder="1" applyAlignment="1">
      <alignment horizontal="center" wrapText="1"/>
    </xf>
    <xf numFmtId="10" fontId="9" fillId="46" borderId="0" xfId="1434" applyNumberFormat="1" applyFont="1" applyFill="1" applyBorder="1" applyAlignment="1">
      <alignment horizontal="center" wrapText="1"/>
    </xf>
    <xf numFmtId="3" fontId="9" fillId="46" borderId="0" xfId="1434" applyNumberFormat="1" applyFont="1" applyFill="1" applyBorder="1" applyAlignment="1">
      <alignment horizontal="center" wrapText="1"/>
    </xf>
    <xf numFmtId="4" fontId="24" fillId="46" borderId="0" xfId="1434" applyNumberFormat="1" applyFont="1" applyFill="1" applyBorder="1" applyAlignment="1">
      <alignment horizontal="right"/>
    </xf>
    <xf numFmtId="0" fontId="24" fillId="48" borderId="0" xfId="1434" applyFont="1" applyFill="1"/>
    <xf numFmtId="0" fontId="9" fillId="48" borderId="0" xfId="1434" applyFont="1" applyFill="1"/>
    <xf numFmtId="10" fontId="9" fillId="48" borderId="0" xfId="1434" applyNumberFormat="1" applyFont="1" applyFill="1"/>
    <xf numFmtId="3" fontId="24" fillId="48" borderId="0" xfId="1434" applyNumberFormat="1" applyFont="1" applyFill="1"/>
    <xf numFmtId="0" fontId="11" fillId="48" borderId="0" xfId="1434" applyFont="1" applyFill="1"/>
    <xf numFmtId="0" fontId="93" fillId="49" borderId="0" xfId="1434" applyFont="1" applyFill="1"/>
    <xf numFmtId="0" fontId="9" fillId="48" borderId="23" xfId="1434" applyFont="1" applyFill="1" applyBorder="1" applyAlignment="1">
      <alignment horizontal="centerContinuous" wrapText="1"/>
    </xf>
    <xf numFmtId="10" fontId="9" fillId="48" borderId="23" xfId="1434" applyNumberFormat="1" applyFont="1" applyFill="1" applyBorder="1" applyAlignment="1">
      <alignment horizontal="centerContinuous" wrapText="1"/>
    </xf>
    <xf numFmtId="0" fontId="9" fillId="48" borderId="17" xfId="1434" applyFont="1" applyFill="1" applyBorder="1" applyAlignment="1">
      <alignment horizontal="centerContinuous" wrapText="1"/>
    </xf>
    <xf numFmtId="0" fontId="9" fillId="48" borderId="17" xfId="1434" applyFont="1" applyFill="1" applyBorder="1" applyAlignment="1">
      <alignment horizontal="center" wrapText="1"/>
    </xf>
    <xf numFmtId="10" fontId="10" fillId="48" borderId="17" xfId="1434" applyNumberFormat="1" applyFont="1" applyFill="1" applyBorder="1" applyAlignment="1">
      <alignment horizontal="center" vertical="top" wrapText="1"/>
    </xf>
    <xf numFmtId="0" fontId="10" fillId="48" borderId="17" xfId="1434" applyFont="1" applyFill="1" applyBorder="1" applyAlignment="1">
      <alignment horizontal="center" vertical="top" wrapText="1"/>
    </xf>
    <xf numFmtId="0" fontId="9" fillId="48" borderId="17" xfId="1434" applyFont="1" applyFill="1" applyBorder="1" applyAlignment="1">
      <alignment horizontal="center" vertical="top" wrapText="1"/>
    </xf>
    <xf numFmtId="0" fontId="24" fillId="44" borderId="0" xfId="1434" applyFont="1" applyFill="1"/>
    <xf numFmtId="0" fontId="14" fillId="48" borderId="17" xfId="1434" applyFont="1" applyFill="1" applyBorder="1" applyAlignment="1">
      <alignment horizontal="center" vertical="top" wrapText="1"/>
    </xf>
    <xf numFmtId="10" fontId="9" fillId="48" borderId="17" xfId="1434" applyNumberFormat="1" applyFont="1" applyFill="1" applyBorder="1" applyAlignment="1">
      <alignment horizontal="center" vertical="top" wrapText="1"/>
    </xf>
    <xf numFmtId="0" fontId="24" fillId="44" borderId="33" xfId="1434" applyFont="1" applyFill="1" applyBorder="1" applyAlignment="1">
      <alignment horizontal="centerContinuous"/>
    </xf>
    <xf numFmtId="0" fontId="24" fillId="44" borderId="23" xfId="1434" applyFont="1" applyFill="1" applyBorder="1"/>
    <xf numFmtId="0" fontId="24" fillId="44" borderId="33" xfId="1434" applyFont="1" applyFill="1" applyBorder="1" applyAlignment="1">
      <alignment horizontal="center"/>
    </xf>
    <xf numFmtId="0" fontId="24" fillId="44" borderId="17" xfId="1434" applyFont="1" applyFill="1" applyBorder="1" applyAlignment="1">
      <alignment horizontal="center"/>
    </xf>
    <xf numFmtId="0" fontId="24" fillId="44" borderId="25" xfId="1434" applyFont="1" applyFill="1" applyBorder="1"/>
    <xf numFmtId="4" fontId="8" fillId="48" borderId="17" xfId="1434" applyNumberFormat="1" applyFont="1" applyFill="1" applyBorder="1" applyAlignment="1">
      <alignment horizontal="center" wrapText="1"/>
    </xf>
    <xf numFmtId="10" fontId="9" fillId="48" borderId="17" xfId="1434" applyNumberFormat="1" applyFont="1" applyFill="1" applyBorder="1" applyAlignment="1">
      <alignment horizontal="center" wrapText="1"/>
    </xf>
    <xf numFmtId="3" fontId="9" fillId="48" borderId="17" xfId="1434" applyNumberFormat="1" applyFont="1" applyFill="1" applyBorder="1" applyAlignment="1">
      <alignment horizontal="center" wrapText="1"/>
    </xf>
    <xf numFmtId="10" fontId="8" fillId="44" borderId="17" xfId="1434" applyNumberFormat="1" applyFont="1" applyFill="1" applyBorder="1" applyAlignment="1">
      <alignment horizontal="center" wrapText="1"/>
    </xf>
    <xf numFmtId="4" fontId="8" fillId="44" borderId="17" xfId="1434" applyNumberFormat="1" applyFont="1" applyFill="1" applyBorder="1" applyAlignment="1">
      <alignment horizontal="center" wrapText="1"/>
    </xf>
    <xf numFmtId="3" fontId="9" fillId="44" borderId="17" xfId="1434" applyNumberFormat="1" applyFont="1" applyFill="1" applyBorder="1" applyAlignment="1">
      <alignment horizontal="center" wrapText="1"/>
    </xf>
    <xf numFmtId="0" fontId="11" fillId="44" borderId="0" xfId="1434" applyFont="1" applyFill="1"/>
    <xf numFmtId="10" fontId="2" fillId="0" borderId="0" xfId="1434" applyNumberFormat="1" applyFont="1"/>
    <xf numFmtId="0" fontId="2" fillId="48" borderId="0" xfId="1434" applyFont="1" applyFill="1"/>
    <xf numFmtId="4" fontId="9" fillId="48" borderId="17" xfId="1434" applyNumberFormat="1" applyFont="1" applyFill="1" applyBorder="1" applyAlignment="1">
      <alignment horizontal="center" wrapText="1"/>
    </xf>
    <xf numFmtId="0" fontId="9" fillId="0" borderId="23" xfId="1434" applyFont="1" applyBorder="1" applyAlignment="1">
      <alignment horizontal="center" wrapText="1"/>
    </xf>
    <xf numFmtId="0" fontId="14" fillId="44" borderId="17" xfId="1434" applyFont="1" applyFill="1" applyBorder="1" applyAlignment="1">
      <alignment horizontal="center" vertical="top" wrapText="1"/>
    </xf>
    <xf numFmtId="0" fontId="14" fillId="46" borderId="17" xfId="1434" applyFont="1" applyFill="1" applyBorder="1" applyAlignment="1">
      <alignment horizontal="center" vertical="top" wrapText="1"/>
    </xf>
    <xf numFmtId="10" fontId="9" fillId="44" borderId="0" xfId="1434" applyNumberFormat="1" applyFont="1" applyFill="1" applyBorder="1" applyAlignment="1">
      <alignment horizontal="center" wrapText="1"/>
    </xf>
    <xf numFmtId="3" fontId="71" fillId="49" borderId="17" xfId="1434" applyNumberFormat="1" applyFont="1" applyFill="1" applyBorder="1" applyAlignment="1">
      <alignment horizontal="center" wrapText="1"/>
    </xf>
    <xf numFmtId="0" fontId="141" fillId="53" borderId="0" xfId="1183" applyFont="1" applyFill="1" applyBorder="1" applyAlignment="1">
      <alignment horizontal="center"/>
    </xf>
    <xf numFmtId="0" fontId="18" fillId="60" borderId="0" xfId="1183" applyFont="1" applyFill="1"/>
    <xf numFmtId="169" fontId="297" fillId="60" borderId="46" xfId="0" applyNumberFormat="1" applyFont="1" applyFill="1" applyBorder="1" applyAlignment="1">
      <alignment horizontal="right"/>
    </xf>
    <xf numFmtId="169" fontId="297" fillId="60" borderId="47" xfId="0" applyNumberFormat="1" applyFont="1" applyFill="1" applyBorder="1" applyAlignment="1">
      <alignment horizontal="right"/>
    </xf>
    <xf numFmtId="169" fontId="297" fillId="60" borderId="47" xfId="0" applyNumberFormat="1" applyFont="1" applyFill="1" applyBorder="1" applyAlignment="1">
      <alignment horizontal="right" vertical="center"/>
    </xf>
    <xf numFmtId="0" fontId="9" fillId="53" borderId="0" xfId="1433" applyFont="1" applyFill="1"/>
    <xf numFmtId="168" fontId="9" fillId="53" borderId="0" xfId="1433" applyNumberFormat="1" applyFont="1" applyFill="1"/>
    <xf numFmtId="0" fontId="9" fillId="53" borderId="66" xfId="1433" applyFont="1" applyFill="1" applyBorder="1" applyAlignment="1">
      <alignment horizontal="center" vertical="top" wrapText="1"/>
    </xf>
    <xf numFmtId="0" fontId="9" fillId="53" borderId="66" xfId="1433" applyFont="1" applyFill="1" applyBorder="1" applyAlignment="1">
      <alignment horizontal="centerContinuous" vertical="top" wrapText="1"/>
    </xf>
    <xf numFmtId="168" fontId="9" fillId="53" borderId="66" xfId="1433" applyNumberFormat="1" applyFont="1" applyFill="1" applyBorder="1" applyAlignment="1">
      <alignment horizontal="centerContinuous" vertical="top" wrapText="1"/>
    </xf>
    <xf numFmtId="166" fontId="9" fillId="53" borderId="0" xfId="1433" applyNumberFormat="1" applyFont="1" applyFill="1"/>
    <xf numFmtId="0" fontId="5" fillId="53" borderId="0" xfId="1433" applyFont="1" applyFill="1"/>
    <xf numFmtId="168" fontId="9" fillId="53" borderId="66" xfId="1433" applyNumberFormat="1" applyFont="1" applyFill="1" applyBorder="1" applyAlignment="1">
      <alignment horizontal="center" vertical="top" wrapText="1"/>
    </xf>
    <xf numFmtId="0" fontId="9" fillId="53" borderId="66" xfId="1433" applyFont="1" applyFill="1" applyBorder="1" applyAlignment="1">
      <alignment horizontal="center"/>
    </xf>
    <xf numFmtId="1" fontId="9" fillId="53" borderId="66" xfId="1433" applyNumberFormat="1" applyFont="1" applyFill="1" applyBorder="1" applyAlignment="1">
      <alignment horizontal="center"/>
    </xf>
    <xf numFmtId="169" fontId="9" fillId="53" borderId="0" xfId="1433" applyNumberFormat="1" applyFont="1" applyFill="1"/>
    <xf numFmtId="49" fontId="9" fillId="53" borderId="66" xfId="1433" applyNumberFormat="1" applyFont="1" applyFill="1" applyBorder="1" applyAlignment="1">
      <alignment horizontal="center"/>
    </xf>
    <xf numFmtId="0" fontId="9" fillId="53" borderId="77" xfId="1433" applyFont="1" applyFill="1" applyBorder="1" applyAlignment="1">
      <alignment horizontal="left" wrapText="1"/>
    </xf>
    <xf numFmtId="169" fontId="9" fillId="53" borderId="66" xfId="1433" applyNumberFormat="1" applyFont="1" applyFill="1" applyBorder="1" applyAlignment="1">
      <alignment horizontal="center"/>
    </xf>
    <xf numFmtId="202" fontId="9" fillId="53" borderId="66" xfId="1433" applyNumberFormat="1" applyFont="1" applyFill="1" applyBorder="1" applyAlignment="1">
      <alignment horizontal="center"/>
    </xf>
    <xf numFmtId="0" fontId="9" fillId="53" borderId="68" xfId="1433" applyFont="1" applyFill="1" applyBorder="1" applyAlignment="1">
      <alignment horizontal="left" wrapText="1"/>
    </xf>
    <xf numFmtId="166" fontId="9" fillId="53" borderId="66" xfId="1433" applyNumberFormat="1" applyFont="1" applyFill="1" applyBorder="1" applyAlignment="1">
      <alignment horizontal="center"/>
    </xf>
    <xf numFmtId="3" fontId="54" fillId="53" borderId="0" xfId="1433" applyNumberFormat="1" applyFont="1" applyFill="1"/>
    <xf numFmtId="168" fontId="5" fillId="53" borderId="0" xfId="1433" applyNumberFormat="1" applyFont="1" applyFill="1"/>
    <xf numFmtId="169" fontId="54" fillId="53" borderId="0" xfId="1433" applyNumberFormat="1" applyFont="1" applyFill="1"/>
    <xf numFmtId="49" fontId="9" fillId="53" borderId="66" xfId="1433" applyNumberFormat="1" applyFont="1" applyFill="1" applyBorder="1" applyAlignment="1">
      <alignment horizontal="center" vertical="top"/>
    </xf>
    <xf numFmtId="1" fontId="5" fillId="53" borderId="0" xfId="1433" applyNumberFormat="1" applyFont="1" applyFill="1"/>
    <xf numFmtId="169" fontId="5" fillId="53" borderId="0" xfId="1433" applyNumberFormat="1" applyFont="1" applyFill="1"/>
    <xf numFmtId="167" fontId="9" fillId="53" borderId="66" xfId="1433" applyNumberFormat="1" applyFont="1" applyFill="1" applyBorder="1" applyAlignment="1">
      <alignment horizontal="center"/>
    </xf>
    <xf numFmtId="168" fontId="9" fillId="53" borderId="66" xfId="1433" applyNumberFormat="1" applyFont="1" applyFill="1" applyBorder="1" applyAlignment="1">
      <alignment horizontal="center"/>
    </xf>
    <xf numFmtId="49" fontId="9" fillId="53" borderId="17" xfId="1433" applyNumberFormat="1" applyFont="1" applyFill="1" applyBorder="1" applyAlignment="1">
      <alignment horizontal="center"/>
    </xf>
    <xf numFmtId="49" fontId="9" fillId="53" borderId="78" xfId="1433" applyNumberFormat="1" applyFont="1" applyFill="1" applyBorder="1" applyAlignment="1">
      <alignment horizontal="center"/>
    </xf>
    <xf numFmtId="0" fontId="9" fillId="53" borderId="79" xfId="1433" applyFont="1" applyFill="1" applyBorder="1" applyAlignment="1">
      <alignment horizontal="left" wrapText="1"/>
    </xf>
    <xf numFmtId="169" fontId="9" fillId="53" borderId="78" xfId="1433" applyNumberFormat="1" applyFont="1" applyFill="1" applyBorder="1" applyAlignment="1">
      <alignment horizontal="center"/>
    </xf>
    <xf numFmtId="168" fontId="9" fillId="53" borderId="78" xfId="1433" applyNumberFormat="1" applyFont="1" applyFill="1" applyBorder="1" applyAlignment="1">
      <alignment horizontal="center"/>
    </xf>
    <xf numFmtId="49" fontId="9" fillId="53" borderId="68" xfId="1433" applyNumberFormat="1" applyFont="1" applyFill="1" applyBorder="1" applyAlignment="1">
      <alignment horizontal="left" wrapText="1" indent="1"/>
    </xf>
    <xf numFmtId="166" fontId="5" fillId="53" borderId="0" xfId="1433" applyNumberFormat="1" applyFont="1" applyFill="1"/>
    <xf numFmtId="4" fontId="5" fillId="53" borderId="0" xfId="1433" applyNumberFormat="1" applyFont="1" applyFill="1"/>
    <xf numFmtId="169" fontId="9" fillId="53" borderId="67" xfId="1433" applyNumberFormat="1" applyFont="1" applyFill="1" applyBorder="1" applyAlignment="1">
      <alignment horizontal="center"/>
    </xf>
    <xf numFmtId="166" fontId="9" fillId="53" borderId="67" xfId="1433" applyNumberFormat="1" applyFont="1" applyFill="1" applyBorder="1" applyAlignment="1">
      <alignment horizontal="center"/>
    </xf>
    <xf numFmtId="1" fontId="66" fillId="53" borderId="0" xfId="1433" applyNumberFormat="1" applyFont="1" applyFill="1"/>
    <xf numFmtId="0" fontId="66" fillId="53" borderId="0" xfId="1433" applyFont="1" applyFill="1"/>
    <xf numFmtId="169" fontId="86" fillId="53" borderId="0" xfId="1433" applyNumberFormat="1" applyFont="1" applyFill="1"/>
    <xf numFmtId="3" fontId="66" fillId="53" borderId="0" xfId="1433" applyNumberFormat="1" applyFont="1" applyFill="1"/>
    <xf numFmtId="0" fontId="9" fillId="53" borderId="0" xfId="1433" applyFont="1" applyFill="1" applyAlignment="1"/>
    <xf numFmtId="0" fontId="11" fillId="53" borderId="0" xfId="1433" applyFont="1" applyFill="1" applyAlignment="1">
      <alignment horizontal="left"/>
    </xf>
    <xf numFmtId="169" fontId="159" fillId="53" borderId="17" xfId="1210" applyNumberFormat="1" applyFont="1" applyFill="1" applyBorder="1" applyAlignment="1">
      <alignment horizontal="center"/>
    </xf>
    <xf numFmtId="0" fontId="33" fillId="56" borderId="17" xfId="0" applyFont="1" applyFill="1" applyBorder="1" applyAlignment="1">
      <alignment horizontal="centerContinuous" vertical="top" wrapText="1"/>
    </xf>
    <xf numFmtId="0" fontId="288" fillId="56" borderId="0" xfId="0" applyFont="1" applyFill="1" applyAlignment="1">
      <alignment horizontal="centerContinuous"/>
    </xf>
    <xf numFmtId="0" fontId="33" fillId="56" borderId="0" xfId="0" applyFont="1" applyFill="1"/>
    <xf numFmtId="170" fontId="49" fillId="57" borderId="0" xfId="0" applyNumberFormat="1" applyFont="1" applyFill="1" applyAlignment="1">
      <alignment horizontal="center"/>
    </xf>
    <xf numFmtId="0" fontId="49" fillId="57" borderId="0" xfId="0" applyFont="1" applyFill="1"/>
    <xf numFmtId="0" fontId="141" fillId="53" borderId="0" xfId="1183" applyFont="1" applyFill="1" applyBorder="1" applyAlignment="1">
      <alignment horizontal="center"/>
    </xf>
    <xf numFmtId="0" fontId="9" fillId="0" borderId="17" xfId="0" applyFont="1" applyBorder="1" applyAlignment="1">
      <alignment horizontal="center" vertical="center" wrapText="1"/>
    </xf>
    <xf numFmtId="0" fontId="9" fillId="0" borderId="66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 wrapText="1"/>
    </xf>
    <xf numFmtId="200" fontId="9" fillId="0" borderId="66" xfId="0" applyNumberFormat="1" applyFont="1" applyBorder="1" applyAlignment="1">
      <alignment horizontal="left" vertical="center" wrapText="1" indent="1"/>
    </xf>
    <xf numFmtId="0" fontId="12" fillId="0" borderId="66" xfId="0" applyFont="1" applyBorder="1" applyAlignment="1">
      <alignment horizontal="center" vertical="center" wrapText="1"/>
    </xf>
    <xf numFmtId="0" fontId="12" fillId="0" borderId="66" xfId="0" applyFont="1" applyBorder="1" applyAlignment="1">
      <alignment horizontal="left" vertical="center" wrapText="1" indent="1"/>
    </xf>
    <xf numFmtId="0" fontId="9" fillId="0" borderId="66" xfId="0" applyFont="1" applyBorder="1" applyAlignment="1">
      <alignment horizontal="left" vertical="center" indent="1"/>
    </xf>
    <xf numFmtId="167" fontId="139" fillId="53" borderId="85" xfId="1183" applyNumberFormat="1" applyFont="1" applyFill="1" applyBorder="1" applyAlignment="1">
      <alignment wrapText="1"/>
    </xf>
    <xf numFmtId="167" fontId="139" fillId="53" borderId="108" xfId="1183" applyNumberFormat="1" applyFont="1" applyFill="1" applyBorder="1" applyAlignment="1"/>
    <xf numFmtId="167" fontId="141" fillId="53" borderId="67" xfId="1183" applyNumberFormat="1" applyFont="1" applyFill="1" applyBorder="1" applyAlignment="1">
      <alignment vertical="center"/>
    </xf>
    <xf numFmtId="167" fontId="139" fillId="53" borderId="109" xfId="1183" applyNumberFormat="1" applyFont="1" applyFill="1" applyBorder="1" applyAlignment="1"/>
    <xf numFmtId="167" fontId="297" fillId="60" borderId="37" xfId="0" applyNumberFormat="1" applyFont="1" applyFill="1" applyBorder="1" applyAlignment="1">
      <alignment horizontal="right"/>
    </xf>
    <xf numFmtId="167" fontId="139" fillId="53" borderId="37" xfId="0" applyNumberFormat="1" applyFont="1" applyFill="1" applyBorder="1" applyAlignment="1">
      <alignment horizontal="right"/>
    </xf>
    <xf numFmtId="167" fontId="297" fillId="60" borderId="38" xfId="0" applyNumberFormat="1" applyFont="1" applyFill="1" applyBorder="1" applyAlignment="1">
      <alignment horizontal="right"/>
    </xf>
    <xf numFmtId="167" fontId="139" fillId="53" borderId="87" xfId="1183" applyNumberFormat="1" applyFont="1" applyFill="1" applyBorder="1" applyAlignment="1">
      <alignment wrapText="1"/>
    </xf>
    <xf numFmtId="167" fontId="141" fillId="53" borderId="85" xfId="1183" applyNumberFormat="1" applyFont="1" applyFill="1" applyBorder="1" applyAlignment="1">
      <alignment vertical="center"/>
    </xf>
    <xf numFmtId="167" fontId="139" fillId="53" borderId="85" xfId="1183" applyNumberFormat="1" applyFont="1" applyFill="1" applyBorder="1" applyAlignment="1">
      <alignment horizontal="right" wrapText="1"/>
    </xf>
    <xf numFmtId="167" fontId="139" fillId="53" borderId="85" xfId="1183" applyNumberFormat="1" applyFont="1" applyFill="1" applyBorder="1" applyAlignment="1">
      <alignment vertical="center"/>
    </xf>
    <xf numFmtId="167" fontId="139" fillId="53" borderId="85" xfId="1183" applyNumberFormat="1" applyFont="1" applyFill="1" applyBorder="1" applyAlignment="1">
      <alignment horizontal="right"/>
    </xf>
    <xf numFmtId="168" fontId="297" fillId="60" borderId="86" xfId="1183" applyNumberFormat="1" applyFont="1" applyFill="1" applyBorder="1" applyAlignment="1"/>
    <xf numFmtId="167" fontId="297" fillId="60" borderId="87" xfId="1183" applyNumberFormat="1" applyFont="1" applyFill="1" applyBorder="1" applyAlignment="1">
      <alignment horizontal="right"/>
    </xf>
    <xf numFmtId="167" fontId="139" fillId="53" borderId="120" xfId="1183" applyNumberFormat="1" applyFont="1" applyFill="1" applyBorder="1" applyAlignment="1">
      <alignment horizontal="right"/>
    </xf>
    <xf numFmtId="167" fontId="297" fillId="60" borderId="37" xfId="0" applyNumberFormat="1" applyFont="1" applyFill="1" applyBorder="1" applyAlignment="1">
      <alignment horizontal="right" vertical="center"/>
    </xf>
    <xf numFmtId="167" fontId="297" fillId="60" borderId="38" xfId="0" applyNumberFormat="1" applyFont="1" applyFill="1" applyBorder="1" applyAlignment="1">
      <alignment horizontal="right" vertical="center"/>
    </xf>
    <xf numFmtId="167" fontId="139" fillId="53" borderId="38" xfId="0" applyNumberFormat="1" applyFont="1" applyFill="1" applyBorder="1" applyAlignment="1">
      <alignment horizontal="right"/>
    </xf>
    <xf numFmtId="173" fontId="9" fillId="55" borderId="66" xfId="1216" applyNumberFormat="1" applyFont="1" applyFill="1" applyBorder="1" applyAlignment="1">
      <alignment horizontal="center" vertical="top"/>
    </xf>
    <xf numFmtId="0" fontId="9" fillId="65" borderId="0" xfId="0" applyFont="1" applyFill="1"/>
    <xf numFmtId="217" fontId="9" fillId="0" borderId="0" xfId="1426" applyNumberFormat="1" applyFont="1"/>
    <xf numFmtId="217" fontId="283" fillId="65" borderId="0" xfId="1426" applyNumberFormat="1" applyFont="1" applyFill="1"/>
    <xf numFmtId="0" fontId="11" fillId="46" borderId="0" xfId="1433" applyFont="1" applyFill="1" applyAlignment="1"/>
    <xf numFmtId="0" fontId="187" fillId="0" borderId="0" xfId="1433" applyFont="1" applyAlignment="1"/>
    <xf numFmtId="168" fontId="11" fillId="0" borderId="0" xfId="1433" applyNumberFormat="1" applyFont="1"/>
    <xf numFmtId="0" fontId="108" fillId="0" borderId="0" xfId="1433" applyFont="1"/>
    <xf numFmtId="0" fontId="136" fillId="0" borderId="0" xfId="1433" applyFont="1"/>
    <xf numFmtId="0" fontId="11" fillId="0" borderId="0" xfId="1433" applyFont="1"/>
    <xf numFmtId="168" fontId="49" fillId="0" borderId="0" xfId="1433" applyNumberFormat="1" applyFont="1" applyAlignment="1">
      <alignment horizontal="right"/>
    </xf>
    <xf numFmtId="0" fontId="51" fillId="57" borderId="17" xfId="0" applyFont="1" applyFill="1" applyBorder="1" applyAlignment="1">
      <alignment horizontal="center" vertical="top" wrapText="1"/>
    </xf>
    <xf numFmtId="4" fontId="51" fillId="57" borderId="17" xfId="0" applyNumberFormat="1" applyFont="1" applyFill="1" applyBorder="1" applyAlignment="1">
      <alignment horizontal="right"/>
    </xf>
    <xf numFmtId="4" fontId="51" fillId="57" borderId="17" xfId="0" applyNumberFormat="1" applyFont="1" applyFill="1" applyBorder="1"/>
    <xf numFmtId="173" fontId="51" fillId="57" borderId="17" xfId="1215" applyNumberFormat="1" applyFont="1" applyFill="1" applyBorder="1" applyAlignment="1">
      <alignment horizontal="right" wrapText="1"/>
    </xf>
    <xf numFmtId="4" fontId="305" fillId="57" borderId="17" xfId="0" applyNumberFormat="1" applyFont="1" applyFill="1" applyBorder="1"/>
    <xf numFmtId="194" fontId="51" fillId="57" borderId="17" xfId="1215" applyNumberFormat="1" applyFont="1" applyFill="1" applyBorder="1" applyAlignment="1">
      <alignment horizontal="right" wrapText="1"/>
    </xf>
    <xf numFmtId="4" fontId="13" fillId="57" borderId="17" xfId="0" applyNumberFormat="1" applyFont="1" applyFill="1" applyBorder="1" applyAlignment="1">
      <alignment horizontal="right"/>
    </xf>
    <xf numFmtId="194" fontId="13" fillId="57" borderId="17" xfId="1215" applyNumberFormat="1" applyFont="1" applyFill="1" applyBorder="1" applyAlignment="1">
      <alignment horizontal="right" wrapText="1"/>
    </xf>
    <xf numFmtId="173" fontId="13" fillId="57" borderId="17" xfId="1215" applyNumberFormat="1" applyFont="1" applyFill="1" applyBorder="1" applyAlignment="1">
      <alignment horizontal="right" wrapText="1"/>
    </xf>
    <xf numFmtId="4" fontId="13" fillId="57" borderId="17" xfId="0" applyNumberFormat="1" applyFont="1" applyFill="1" applyBorder="1"/>
    <xf numFmtId="0" fontId="0" fillId="0" borderId="0" xfId="0"/>
    <xf numFmtId="0" fontId="0" fillId="0" borderId="2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9" fillId="0" borderId="17" xfId="0" applyFont="1" applyBorder="1" applyAlignment="1">
      <alignment horizontal="center"/>
    </xf>
    <xf numFmtId="0" fontId="0" fillId="0" borderId="17" xfId="0" applyBorder="1"/>
    <xf numFmtId="0" fontId="9" fillId="0" borderId="17" xfId="0" applyFont="1" applyBorder="1" applyAlignment="1">
      <alignment horizontal="center" vertical="top"/>
    </xf>
    <xf numFmtId="0" fontId="11" fillId="0" borderId="33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wrapText="1"/>
    </xf>
    <xf numFmtId="0" fontId="281" fillId="0" borderId="26" xfId="0" applyFont="1" applyBorder="1" applyAlignment="1">
      <alignment horizontal="centerContinuous" wrapText="1"/>
    </xf>
    <xf numFmtId="173" fontId="9" fillId="55" borderId="66" xfId="1216" applyNumberFormat="1" applyFont="1" applyFill="1" applyBorder="1" applyAlignment="1">
      <alignment horizontal="center" vertical="center"/>
    </xf>
    <xf numFmtId="0" fontId="12" fillId="53" borderId="66" xfId="0" applyFont="1" applyFill="1" applyBorder="1" applyAlignment="1">
      <alignment horizontal="center" vertical="center" wrapText="1"/>
    </xf>
    <xf numFmtId="0" fontId="9" fillId="53" borderId="66" xfId="0" applyFont="1" applyFill="1" applyBorder="1"/>
    <xf numFmtId="0" fontId="9" fillId="53" borderId="66" xfId="0" applyFont="1" applyFill="1" applyBorder="1" applyAlignment="1">
      <alignment horizontal="center"/>
    </xf>
    <xf numFmtId="195" fontId="9" fillId="55" borderId="66" xfId="1216" applyNumberFormat="1" applyFont="1" applyFill="1" applyBorder="1" applyAlignment="1">
      <alignment horizontal="center" vertical="top"/>
    </xf>
    <xf numFmtId="195" fontId="14" fillId="55" borderId="66" xfId="1216" applyNumberFormat="1" applyFont="1" applyFill="1" applyBorder="1" applyAlignment="1">
      <alignment horizontal="center" vertical="top"/>
    </xf>
    <xf numFmtId="0" fontId="9" fillId="53" borderId="66" xfId="0" applyFont="1" applyFill="1" applyBorder="1" applyAlignment="1"/>
    <xf numFmtId="195" fontId="9" fillId="55" borderId="66" xfId="1216" applyNumberFormat="1" applyFont="1" applyFill="1" applyBorder="1" applyAlignment="1">
      <alignment horizontal="center"/>
    </xf>
    <xf numFmtId="0" fontId="9" fillId="55" borderId="66" xfId="0" applyFont="1" applyFill="1" applyBorder="1" applyAlignment="1">
      <alignment horizontal="center" vertical="center" wrapText="1"/>
    </xf>
    <xf numFmtId="0" fontId="159" fillId="0" borderId="22" xfId="0" applyFont="1" applyBorder="1" applyAlignment="1">
      <alignment horizontal="center" vertical="center" wrapText="1"/>
    </xf>
    <xf numFmtId="0" fontId="159" fillId="0" borderId="22" xfId="0" applyNumberFormat="1" applyFont="1" applyBorder="1" applyAlignment="1">
      <alignment horizontal="center" vertical="center" wrapText="1"/>
    </xf>
    <xf numFmtId="0" fontId="0" fillId="0" borderId="0" xfId="0"/>
    <xf numFmtId="0" fontId="312" fillId="58" borderId="0" xfId="1176" applyFont="1" applyFill="1"/>
    <xf numFmtId="4" fontId="285" fillId="0" borderId="17" xfId="0" applyNumberFormat="1" applyFont="1" applyFill="1" applyBorder="1" applyAlignment="1">
      <alignment horizontal="center"/>
    </xf>
    <xf numFmtId="0" fontId="0" fillId="53" borderId="6" xfId="0" applyFont="1" applyFill="1" applyBorder="1" applyAlignment="1">
      <alignment horizontal="center" vertical="top"/>
    </xf>
    <xf numFmtId="0" fontId="0" fillId="53" borderId="23" xfId="0" applyFill="1" applyBorder="1" applyAlignment="1">
      <alignment horizontal="right"/>
    </xf>
    <xf numFmtId="199" fontId="9" fillId="67" borderId="66" xfId="1216" applyNumberFormat="1" applyFont="1" applyFill="1" applyBorder="1" applyAlignment="1">
      <alignment horizontal="center" vertical="top"/>
    </xf>
    <xf numFmtId="0" fontId="9" fillId="56" borderId="66" xfId="0" applyFont="1" applyFill="1" applyBorder="1" applyAlignment="1">
      <alignment horizontal="center" vertical="center" wrapText="1"/>
    </xf>
    <xf numFmtId="0" fontId="9" fillId="67" borderId="66" xfId="0" applyFont="1" applyFill="1" applyBorder="1" applyAlignment="1">
      <alignment horizontal="center" vertical="center" wrapText="1"/>
    </xf>
    <xf numFmtId="0" fontId="282" fillId="56" borderId="66" xfId="0" applyFont="1" applyFill="1" applyBorder="1" applyAlignment="1">
      <alignment horizontal="center" vertical="center" wrapText="1"/>
    </xf>
    <xf numFmtId="0" fontId="9" fillId="53" borderId="68" xfId="0" applyFont="1" applyFill="1" applyBorder="1" applyAlignment="1">
      <alignment horizontal="left" vertical="center" indent="7"/>
    </xf>
    <xf numFmtId="171" fontId="159" fillId="56" borderId="17" xfId="0" applyNumberFormat="1" applyFont="1" applyFill="1" applyBorder="1" applyAlignment="1">
      <alignment horizontal="center"/>
    </xf>
    <xf numFmtId="171" fontId="160" fillId="56" borderId="17" xfId="1210" applyNumberFormat="1" applyFont="1" applyFill="1" applyBorder="1" applyAlignment="1">
      <alignment horizontal="center"/>
    </xf>
    <xf numFmtId="0" fontId="9" fillId="53" borderId="0" xfId="1433" applyFont="1" applyFill="1" applyAlignment="1">
      <alignment horizontal="right"/>
    </xf>
    <xf numFmtId="169" fontId="66" fillId="53" borderId="0" xfId="1433" applyNumberFormat="1" applyFont="1" applyFill="1"/>
    <xf numFmtId="0" fontId="49" fillId="53" borderId="0" xfId="1433" applyFont="1" applyFill="1"/>
    <xf numFmtId="167" fontId="66" fillId="53" borderId="0" xfId="1433" applyNumberFormat="1" applyFont="1" applyFill="1"/>
    <xf numFmtId="167" fontId="5" fillId="53" borderId="0" xfId="1433" applyNumberFormat="1" applyFont="1" applyFill="1"/>
    <xf numFmtId="0" fontId="12" fillId="53" borderId="0" xfId="1433" applyFont="1" applyFill="1" applyAlignment="1">
      <alignment horizontal="right"/>
    </xf>
    <xf numFmtId="171" fontId="66" fillId="53" borderId="0" xfId="1433" applyNumberFormat="1" applyFont="1" applyFill="1"/>
    <xf numFmtId="0" fontId="49" fillId="53" borderId="0" xfId="1433" applyFont="1" applyFill="1" applyAlignment="1">
      <alignment horizontal="centerContinuous"/>
    </xf>
    <xf numFmtId="166" fontId="14" fillId="53" borderId="0" xfId="1433" applyNumberFormat="1" applyFont="1" applyFill="1"/>
    <xf numFmtId="0" fontId="9" fillId="53" borderId="17" xfId="1433" applyFont="1" applyFill="1" applyBorder="1" applyAlignment="1">
      <alignment horizontal="center"/>
    </xf>
    <xf numFmtId="1" fontId="14" fillId="53" borderId="0" xfId="1433" applyNumberFormat="1" applyFont="1" applyFill="1"/>
    <xf numFmtId="202" fontId="66" fillId="53" borderId="0" xfId="1433" applyNumberFormat="1" applyFont="1" applyFill="1"/>
    <xf numFmtId="166" fontId="66" fillId="53" borderId="0" xfId="1433" applyNumberFormat="1" applyFont="1" applyFill="1"/>
    <xf numFmtId="171" fontId="5" fillId="53" borderId="0" xfId="1433" applyNumberFormat="1" applyFont="1" applyFill="1"/>
    <xf numFmtId="169" fontId="129" fillId="53" borderId="0" xfId="1433" applyNumberFormat="1" applyFont="1" applyFill="1"/>
    <xf numFmtId="202" fontId="5" fillId="53" borderId="0" xfId="1433" applyNumberFormat="1" applyFont="1" applyFill="1"/>
    <xf numFmtId="10" fontId="86" fillId="53" borderId="0" xfId="1433" applyNumberFormat="1" applyFont="1" applyFill="1"/>
    <xf numFmtId="0" fontId="129" fillId="53" borderId="0" xfId="1433" applyFont="1" applyFill="1"/>
    <xf numFmtId="10" fontId="5" fillId="53" borderId="0" xfId="1433" applyNumberFormat="1" applyFont="1" applyFill="1"/>
    <xf numFmtId="169" fontId="14" fillId="53" borderId="0" xfId="1433" applyNumberFormat="1" applyFont="1" applyFill="1"/>
    <xf numFmtId="202" fontId="14" fillId="53" borderId="0" xfId="1433" applyNumberFormat="1" applyFont="1" applyFill="1"/>
    <xf numFmtId="49" fontId="9" fillId="53" borderId="17" xfId="1433" applyNumberFormat="1" applyFont="1" applyFill="1" applyBorder="1" applyAlignment="1">
      <alignment horizontal="center" vertical="top"/>
    </xf>
    <xf numFmtId="170" fontId="9" fillId="53" borderId="17" xfId="1433" applyNumberFormat="1" applyFont="1" applyFill="1" applyBorder="1" applyAlignment="1">
      <alignment horizontal="center"/>
    </xf>
    <xf numFmtId="49" fontId="9" fillId="53" borderId="67" xfId="1433" applyNumberFormat="1" applyFont="1" applyFill="1" applyBorder="1" applyAlignment="1">
      <alignment horizontal="center"/>
    </xf>
    <xf numFmtId="0" fontId="9" fillId="53" borderId="22" xfId="1433" applyFont="1" applyFill="1" applyBorder="1" applyAlignment="1">
      <alignment horizontal="center"/>
    </xf>
    <xf numFmtId="169" fontId="9" fillId="53" borderId="121" xfId="1433" applyNumberFormat="1" applyFont="1" applyFill="1" applyBorder="1"/>
    <xf numFmtId="0" fontId="9" fillId="53" borderId="126" xfId="1433" applyFont="1" applyFill="1" applyBorder="1" applyAlignment="1">
      <alignment horizontal="center"/>
    </xf>
    <xf numFmtId="0" fontId="5" fillId="53" borderId="0" xfId="1433" applyFont="1" applyFill="1" applyAlignment="1">
      <alignment horizontal="right"/>
    </xf>
    <xf numFmtId="171" fontId="9" fillId="53" borderId="66" xfId="1433" applyNumberFormat="1" applyFont="1" applyFill="1" applyBorder="1" applyAlignment="1">
      <alignment horizontal="center"/>
    </xf>
    <xf numFmtId="3" fontId="5" fillId="53" borderId="0" xfId="1433" applyNumberFormat="1" applyFont="1" applyFill="1"/>
    <xf numFmtId="168" fontId="66" fillId="53" borderId="0" xfId="1433" applyNumberFormat="1" applyFont="1" applyFill="1"/>
    <xf numFmtId="0" fontId="66" fillId="53" borderId="0" xfId="1433" applyFont="1" applyFill="1" applyAlignment="1">
      <alignment horizontal="center"/>
    </xf>
    <xf numFmtId="165" fontId="9" fillId="53" borderId="66" xfId="1433" applyNumberFormat="1" applyFont="1" applyFill="1" applyBorder="1" applyAlignment="1">
      <alignment horizontal="center"/>
    </xf>
    <xf numFmtId="195" fontId="9" fillId="53" borderId="66" xfId="1216" applyNumberFormat="1" applyFont="1" applyFill="1" applyBorder="1" applyAlignment="1">
      <alignment horizontal="right" vertical="center" wrapText="1"/>
    </xf>
    <xf numFmtId="0" fontId="9" fillId="53" borderId="0" xfId="1433" applyFont="1" applyFill="1" applyBorder="1" applyAlignment="1">
      <alignment horizontal="center"/>
    </xf>
    <xf numFmtId="0" fontId="16" fillId="53" borderId="0" xfId="1433" applyFont="1" applyFill="1"/>
    <xf numFmtId="0" fontId="11" fillId="53" borderId="0" xfId="1433" applyFont="1" applyFill="1" applyAlignment="1">
      <alignment horizontal="right"/>
    </xf>
    <xf numFmtId="3" fontId="51" fillId="53" borderId="0" xfId="1433" applyNumberFormat="1" applyFont="1" applyFill="1" applyBorder="1" applyAlignment="1">
      <alignment horizontal="left"/>
    </xf>
    <xf numFmtId="3" fontId="13" fillId="53" borderId="0" xfId="1433" applyNumberFormat="1" applyFont="1" applyFill="1" applyBorder="1" applyAlignment="1">
      <alignment horizontal="left"/>
    </xf>
    <xf numFmtId="0" fontId="11" fillId="53" borderId="0" xfId="1433" applyFont="1" applyFill="1" applyBorder="1" applyAlignment="1">
      <alignment horizontal="left"/>
    </xf>
    <xf numFmtId="4" fontId="0" fillId="53" borderId="17" xfId="0" applyNumberFormat="1" applyFont="1" applyFill="1" applyBorder="1"/>
    <xf numFmtId="0" fontId="66" fillId="53" borderId="17" xfId="0" applyFont="1" applyFill="1" applyBorder="1" applyAlignment="1">
      <alignment horizontal="right"/>
    </xf>
    <xf numFmtId="0" fontId="66" fillId="53" borderId="33" xfId="0" applyFont="1" applyFill="1" applyBorder="1"/>
    <xf numFmtId="0" fontId="66" fillId="53" borderId="6" xfId="0" applyFont="1" applyFill="1" applyBorder="1"/>
    <xf numFmtId="4" fontId="66" fillId="57" borderId="17" xfId="0" applyNumberFormat="1" applyFont="1" applyFill="1" applyBorder="1"/>
    <xf numFmtId="0" fontId="313" fillId="57" borderId="33" xfId="0" applyFont="1" applyFill="1" applyBorder="1" applyAlignment="1">
      <alignment horizontal="centerContinuous"/>
    </xf>
    <xf numFmtId="0" fontId="0" fillId="57" borderId="6" xfId="0" applyFont="1" applyFill="1" applyBorder="1" applyAlignment="1">
      <alignment horizontal="centerContinuous" vertical="top"/>
    </xf>
    <xf numFmtId="0" fontId="66" fillId="53" borderId="33" xfId="0" applyFont="1" applyFill="1" applyBorder="1" applyAlignment="1">
      <alignment horizontal="left"/>
    </xf>
    <xf numFmtId="0" fontId="0" fillId="53" borderId="33" xfId="0" applyFont="1" applyFill="1" applyBorder="1"/>
    <xf numFmtId="0" fontId="284" fillId="53" borderId="0" xfId="0" applyFont="1" applyFill="1"/>
    <xf numFmtId="0" fontId="66" fillId="53" borderId="23" xfId="0" applyFont="1" applyFill="1" applyBorder="1" applyAlignment="1">
      <alignment horizontal="right"/>
    </xf>
    <xf numFmtId="4" fontId="0" fillId="57" borderId="23" xfId="0" applyNumberFormat="1" applyFont="1" applyFill="1" applyBorder="1"/>
    <xf numFmtId="4" fontId="66" fillId="57" borderId="22" xfId="0" applyNumberFormat="1" applyFont="1" applyFill="1" applyBorder="1"/>
    <xf numFmtId="4" fontId="66" fillId="60" borderId="17" xfId="0" applyNumberFormat="1" applyFont="1" applyFill="1" applyBorder="1"/>
    <xf numFmtId="0" fontId="66" fillId="53" borderId="22" xfId="0" applyFont="1" applyFill="1" applyBorder="1" applyAlignment="1">
      <alignment horizontal="right"/>
    </xf>
    <xf numFmtId="0" fontId="66" fillId="53" borderId="28" xfId="0" applyFont="1" applyFill="1" applyBorder="1"/>
    <xf numFmtId="0" fontId="127" fillId="0" borderId="0" xfId="1435" applyFont="1"/>
    <xf numFmtId="0" fontId="5" fillId="0" borderId="0" xfId="1435"/>
    <xf numFmtId="0" fontId="126" fillId="0" borderId="0" xfId="1435" applyFont="1" applyAlignment="1">
      <alignment vertical="center" wrapText="1"/>
    </xf>
    <xf numFmtId="0" fontId="20" fillId="0" borderId="0" xfId="1435" applyFont="1" applyBorder="1" applyAlignment="1">
      <alignment vertical="center" wrapText="1"/>
    </xf>
    <xf numFmtId="0" fontId="130" fillId="0" borderId="23" xfId="1435" applyFont="1" applyBorder="1" applyAlignment="1">
      <alignment horizontal="center" vertical="center"/>
    </xf>
    <xf numFmtId="0" fontId="130" fillId="0" borderId="55" xfId="1435" applyFont="1" applyBorder="1" applyAlignment="1">
      <alignment horizontal="center" vertical="center"/>
    </xf>
    <xf numFmtId="0" fontId="66" fillId="0" borderId="0" xfId="1435" applyFont="1" applyBorder="1" applyAlignment="1">
      <alignment vertical="center"/>
    </xf>
    <xf numFmtId="0" fontId="5" fillId="0" borderId="0" xfId="1435" applyBorder="1"/>
    <xf numFmtId="0" fontId="130" fillId="53" borderId="31" xfId="1435" applyFont="1" applyFill="1" applyBorder="1" applyAlignment="1">
      <alignment vertical="center" wrapText="1"/>
    </xf>
    <xf numFmtId="169" fontId="126" fillId="53" borderId="22" xfId="1435" applyNumberFormat="1" applyFont="1" applyFill="1" applyBorder="1" applyAlignment="1">
      <alignment horizontal="right" wrapText="1"/>
    </xf>
    <xf numFmtId="169" fontId="126" fillId="53" borderId="46" xfId="1435" applyNumberFormat="1" applyFont="1" applyFill="1" applyBorder="1" applyAlignment="1">
      <alignment horizontal="right"/>
    </xf>
    <xf numFmtId="169" fontId="66" fillId="53" borderId="25" xfId="1435" applyNumberFormat="1" applyFont="1" applyFill="1" applyBorder="1" applyAlignment="1">
      <alignment horizontal="center" vertical="center"/>
    </xf>
    <xf numFmtId="169" fontId="126" fillId="53" borderId="61" xfId="1435" applyNumberFormat="1" applyFont="1" applyFill="1" applyBorder="1" applyAlignment="1">
      <alignment horizontal="right"/>
    </xf>
    <xf numFmtId="0" fontId="66" fillId="53" borderId="0" xfId="1435" applyFont="1" applyFill="1" applyBorder="1" applyAlignment="1">
      <alignment vertical="center"/>
    </xf>
    <xf numFmtId="0" fontId="5" fillId="53" borderId="0" xfId="1435" applyFill="1" applyBorder="1"/>
    <xf numFmtId="0" fontId="5" fillId="53" borderId="0" xfId="1435" applyFill="1"/>
    <xf numFmtId="0" fontId="130" fillId="53" borderId="52" xfId="1435" applyFont="1" applyFill="1" applyBorder="1" applyAlignment="1">
      <alignment vertical="center" wrapText="1"/>
    </xf>
    <xf numFmtId="202" fontId="126" fillId="53" borderId="17" xfId="1435" applyNumberFormat="1" applyFont="1" applyFill="1" applyBorder="1" applyAlignment="1">
      <alignment horizontal="right" wrapText="1"/>
    </xf>
    <xf numFmtId="202" fontId="126" fillId="53" borderId="37" xfId="1435" applyNumberFormat="1" applyFont="1" applyFill="1" applyBorder="1" applyAlignment="1">
      <alignment horizontal="right" wrapText="1"/>
    </xf>
    <xf numFmtId="202" fontId="66" fillId="53" borderId="27" xfId="1435" applyNumberFormat="1" applyFont="1" applyFill="1" applyBorder="1" applyAlignment="1">
      <alignment horizontal="center" vertical="center"/>
    </xf>
    <xf numFmtId="202" fontId="126" fillId="53" borderId="34" xfId="1435" applyNumberFormat="1" applyFont="1" applyFill="1" applyBorder="1" applyAlignment="1">
      <alignment horizontal="right" wrapText="1"/>
    </xf>
    <xf numFmtId="1" fontId="66" fillId="53" borderId="0" xfId="1435" applyNumberFormat="1" applyFont="1" applyFill="1" applyBorder="1" applyAlignment="1">
      <alignment horizontal="right"/>
    </xf>
    <xf numFmtId="169" fontId="126" fillId="53" borderId="17" xfId="1435" applyNumberFormat="1" applyFont="1" applyFill="1" applyBorder="1" applyAlignment="1">
      <alignment horizontal="right" wrapText="1"/>
    </xf>
    <xf numFmtId="169" fontId="126" fillId="53" borderId="17" xfId="1435" applyNumberFormat="1" applyFont="1" applyFill="1" applyBorder="1" applyAlignment="1">
      <alignment horizontal="right"/>
    </xf>
    <xf numFmtId="169" fontId="126" fillId="53" borderId="34" xfId="1435" applyNumberFormat="1" applyFont="1" applyFill="1" applyBorder="1" applyAlignment="1">
      <alignment horizontal="right"/>
    </xf>
    <xf numFmtId="168" fontId="66" fillId="53" borderId="0" xfId="1435" applyNumberFormat="1" applyFont="1" applyFill="1" applyBorder="1" applyAlignment="1">
      <alignment horizontal="right"/>
    </xf>
    <xf numFmtId="0" fontId="130" fillId="53" borderId="32" xfId="1435" applyFont="1" applyFill="1" applyBorder="1" applyAlignment="1">
      <alignment vertical="center" wrapText="1"/>
    </xf>
    <xf numFmtId="171" fontId="126" fillId="53" borderId="17" xfId="1435" applyNumberFormat="1" applyFont="1" applyFill="1" applyBorder="1" applyAlignment="1">
      <alignment horizontal="right" wrapText="1"/>
    </xf>
    <xf numFmtId="0" fontId="130" fillId="53" borderId="22" xfId="1435" applyFont="1" applyFill="1" applyBorder="1" applyAlignment="1">
      <alignment vertical="center" wrapText="1"/>
    </xf>
    <xf numFmtId="0" fontId="66" fillId="53" borderId="22" xfId="1435" applyFont="1" applyFill="1" applyBorder="1" applyAlignment="1">
      <alignment vertical="center"/>
    </xf>
    <xf numFmtId="0" fontId="66" fillId="53" borderId="22" xfId="1435" applyFont="1" applyFill="1" applyBorder="1" applyAlignment="1"/>
    <xf numFmtId="0" fontId="66" fillId="53" borderId="61" xfId="1435" applyFont="1" applyFill="1" applyBorder="1" applyAlignment="1"/>
    <xf numFmtId="218" fontId="66" fillId="53" borderId="0" xfId="1435" applyNumberFormat="1" applyFont="1" applyFill="1" applyBorder="1" applyAlignment="1">
      <alignment vertical="center"/>
    </xf>
    <xf numFmtId="166" fontId="66" fillId="53" borderId="0" xfId="1435" applyNumberFormat="1" applyFont="1" applyFill="1" applyBorder="1" applyAlignment="1">
      <alignment vertical="center"/>
    </xf>
    <xf numFmtId="0" fontId="130" fillId="53" borderId="35" xfId="1435" applyFont="1" applyFill="1" applyBorder="1" applyAlignment="1">
      <alignment vertical="center" wrapText="1"/>
    </xf>
    <xf numFmtId="0" fontId="130" fillId="53" borderId="37" xfId="1435" applyFont="1" applyFill="1" applyBorder="1" applyAlignment="1">
      <alignment vertical="center" wrapText="1"/>
    </xf>
    <xf numFmtId="0" fontId="66" fillId="53" borderId="37" xfId="1435" applyFont="1" applyFill="1" applyBorder="1" applyAlignment="1">
      <alignment vertical="center"/>
    </xf>
    <xf numFmtId="0" fontId="66" fillId="53" borderId="37" xfId="1435" applyFont="1" applyFill="1" applyBorder="1" applyAlignment="1">
      <alignment horizontal="center"/>
    </xf>
    <xf numFmtId="0" fontId="66" fillId="53" borderId="38" xfId="1435" applyFont="1" applyFill="1" applyBorder="1" applyAlignment="1">
      <alignment horizontal="center"/>
    </xf>
    <xf numFmtId="169" fontId="66" fillId="53" borderId="17" xfId="1435" applyNumberFormat="1" applyFont="1" applyFill="1" applyBorder="1" applyAlignment="1">
      <alignment horizontal="center" vertical="center"/>
    </xf>
    <xf numFmtId="169" fontId="126" fillId="53" borderId="132" xfId="1435" applyNumberFormat="1" applyFont="1" applyFill="1" applyBorder="1" applyAlignment="1">
      <alignment horizontal="right"/>
    </xf>
    <xf numFmtId="202" fontId="130" fillId="53" borderId="17" xfId="1435" applyNumberFormat="1" applyFont="1" applyFill="1" applyBorder="1" applyAlignment="1">
      <alignment horizontal="center" vertical="center" wrapText="1"/>
    </xf>
    <xf numFmtId="202" fontId="126" fillId="53" borderId="132" xfId="1435" applyNumberFormat="1" applyFont="1" applyFill="1" applyBorder="1" applyAlignment="1">
      <alignment horizontal="right" wrapText="1"/>
    </xf>
    <xf numFmtId="0" fontId="130" fillId="53" borderId="133" xfId="1435" applyFont="1" applyFill="1" applyBorder="1" applyAlignment="1">
      <alignment vertical="center" wrapText="1"/>
    </xf>
    <xf numFmtId="0" fontId="130" fillId="53" borderId="0" xfId="1435" applyFont="1" applyFill="1" applyBorder="1" applyAlignment="1">
      <alignment vertical="center" wrapText="1"/>
    </xf>
    <xf numFmtId="0" fontId="130" fillId="53" borderId="134" xfId="1435" applyFont="1" applyFill="1" applyBorder="1" applyAlignment="1">
      <alignment vertical="center" wrapText="1"/>
    </xf>
    <xf numFmtId="0" fontId="314" fillId="53" borderId="133" xfId="1435" applyFont="1" applyFill="1" applyBorder="1" applyAlignment="1">
      <alignment horizontal="left" vertical="center" wrapText="1"/>
    </xf>
    <xf numFmtId="0" fontId="130" fillId="53" borderId="134" xfId="1435" applyFont="1" applyFill="1" applyBorder="1" applyAlignment="1">
      <alignment horizontal="left" vertical="center" wrapText="1"/>
    </xf>
    <xf numFmtId="0" fontId="130" fillId="53" borderId="19" xfId="1435" applyFont="1" applyFill="1" applyBorder="1" applyAlignment="1">
      <alignment horizontal="left" vertical="center" wrapText="1"/>
    </xf>
    <xf numFmtId="195" fontId="49" fillId="55" borderId="126" xfId="1216" applyNumberFormat="1" applyFont="1" applyFill="1" applyBorder="1" applyAlignment="1">
      <alignment horizontal="right"/>
    </xf>
    <xf numFmtId="169" fontId="130" fillId="53" borderId="17" xfId="1435" applyNumberFormat="1" applyFont="1" applyFill="1" applyBorder="1" applyAlignment="1">
      <alignment horizontal="left" vertical="center" wrapText="1"/>
    </xf>
    <xf numFmtId="195" fontId="49" fillId="55" borderId="135" xfId="1216" applyNumberFormat="1" applyFont="1" applyFill="1" applyBorder="1" applyAlignment="1">
      <alignment horizontal="right"/>
    </xf>
    <xf numFmtId="195" fontId="49" fillId="55" borderId="136" xfId="1216" applyNumberFormat="1" applyFont="1" applyFill="1" applyBorder="1" applyAlignment="1">
      <alignment horizontal="right"/>
    </xf>
    <xf numFmtId="0" fontId="130" fillId="53" borderId="37" xfId="1435" applyFont="1" applyFill="1" applyBorder="1" applyAlignment="1">
      <alignment horizontal="left" vertical="center" wrapText="1"/>
    </xf>
    <xf numFmtId="195" fontId="49" fillId="55" borderId="137" xfId="1216" applyNumberFormat="1" applyFont="1" applyFill="1" applyBorder="1" applyAlignment="1">
      <alignment horizontal="right"/>
    </xf>
    <xf numFmtId="0" fontId="130" fillId="53" borderId="21" xfId="1435" applyFont="1" applyFill="1" applyBorder="1" applyAlignment="1">
      <alignment vertical="center" wrapText="1"/>
    </xf>
    <xf numFmtId="169" fontId="126" fillId="53" borderId="46" xfId="1435" applyNumberFormat="1" applyFont="1" applyFill="1" applyBorder="1" applyAlignment="1">
      <alignment horizontal="right" wrapText="1"/>
    </xf>
    <xf numFmtId="169" fontId="66" fillId="53" borderId="46" xfId="1435" applyNumberFormat="1" applyFont="1" applyFill="1" applyBorder="1" applyAlignment="1">
      <alignment horizontal="center" vertical="center"/>
    </xf>
    <xf numFmtId="169" fontId="126" fillId="53" borderId="47" xfId="1435" applyNumberFormat="1" applyFont="1" applyFill="1" applyBorder="1" applyAlignment="1">
      <alignment horizontal="right"/>
    </xf>
    <xf numFmtId="202" fontId="66" fillId="53" borderId="37" xfId="1435" applyNumberFormat="1" applyFont="1" applyFill="1" applyBorder="1" applyAlignment="1">
      <alignment horizontal="center" vertical="center"/>
    </xf>
    <xf numFmtId="202" fontId="126" fillId="53" borderId="38" xfId="1435" applyNumberFormat="1" applyFont="1" applyFill="1" applyBorder="1" applyAlignment="1">
      <alignment horizontal="right" wrapText="1"/>
    </xf>
    <xf numFmtId="0" fontId="130" fillId="46" borderId="0" xfId="1435" applyFont="1" applyFill="1" applyBorder="1" applyAlignment="1">
      <alignment vertical="center" wrapText="1"/>
    </xf>
    <xf numFmtId="0" fontId="130" fillId="0" borderId="0" xfId="1435" applyFont="1" applyBorder="1" applyAlignment="1">
      <alignment vertical="center" wrapText="1"/>
    </xf>
    <xf numFmtId="0" fontId="66" fillId="0" borderId="0" xfId="1435" applyFont="1" applyBorder="1" applyAlignment="1">
      <alignment horizontal="center"/>
    </xf>
    <xf numFmtId="0" fontId="108" fillId="0" borderId="0" xfId="1435" applyFont="1"/>
    <xf numFmtId="171" fontId="126" fillId="53" borderId="34" xfId="1435" applyNumberFormat="1" applyFont="1" applyFill="1" applyBorder="1" applyAlignment="1">
      <alignment horizontal="right" wrapText="1"/>
    </xf>
    <xf numFmtId="195" fontId="49" fillId="55" borderId="138" xfId="1216" applyNumberFormat="1" applyFont="1" applyFill="1" applyBorder="1" applyAlignment="1">
      <alignment horizontal="right"/>
    </xf>
    <xf numFmtId="195" fontId="49" fillId="55" borderId="139" xfId="1216" applyNumberFormat="1" applyFont="1" applyFill="1" applyBorder="1" applyAlignment="1">
      <alignment horizontal="right"/>
    </xf>
    <xf numFmtId="0" fontId="130" fillId="53" borderId="17" xfId="1435" applyFont="1" applyFill="1" applyBorder="1" applyAlignment="1">
      <alignment horizontal="left" vertical="center" wrapText="1"/>
    </xf>
    <xf numFmtId="195" fontId="49" fillId="55" borderId="140" xfId="1216" applyNumberFormat="1" applyFont="1" applyFill="1" applyBorder="1" applyAlignment="1">
      <alignment horizontal="right"/>
    </xf>
    <xf numFmtId="171" fontId="126" fillId="53" borderId="38" xfId="1435" applyNumberFormat="1" applyFont="1" applyFill="1" applyBorder="1" applyAlignment="1">
      <alignment horizontal="right" wrapText="1"/>
    </xf>
    <xf numFmtId="0" fontId="51" fillId="60" borderId="17" xfId="0" applyFont="1" applyFill="1" applyBorder="1"/>
    <xf numFmtId="170" fontId="9" fillId="53" borderId="17" xfId="0" applyNumberFormat="1" applyFont="1" applyFill="1" applyBorder="1" applyAlignment="1">
      <alignment wrapText="1"/>
    </xf>
    <xf numFmtId="0" fontId="0" fillId="56" borderId="0" xfId="0" applyFont="1" applyFill="1"/>
    <xf numFmtId="4" fontId="0" fillId="56" borderId="0" xfId="0" applyNumberFormat="1" applyFont="1" applyFill="1"/>
    <xf numFmtId="0" fontId="0" fillId="56" borderId="0" xfId="0" applyFill="1"/>
    <xf numFmtId="0" fontId="66" fillId="56" borderId="0" xfId="0" applyFont="1" applyFill="1"/>
    <xf numFmtId="164" fontId="0" fillId="56" borderId="0" xfId="0" applyNumberFormat="1" applyFont="1" applyFill="1"/>
    <xf numFmtId="0" fontId="159" fillId="56" borderId="0" xfId="1433" applyFont="1" applyFill="1"/>
    <xf numFmtId="0" fontId="159" fillId="56" borderId="0" xfId="0" applyFont="1" applyFill="1"/>
    <xf numFmtId="0" fontId="108" fillId="56" borderId="0" xfId="0" applyFont="1" applyFill="1"/>
    <xf numFmtId="2" fontId="9" fillId="0" borderId="0" xfId="0" applyNumberFormat="1" applyFont="1" applyAlignment="1">
      <alignment horizontal="centerContinuous"/>
    </xf>
    <xf numFmtId="168" fontId="282" fillId="53" borderId="66" xfId="0" applyNumberFormat="1" applyFont="1" applyFill="1" applyBorder="1" applyAlignment="1">
      <alignment horizontal="center"/>
    </xf>
    <xf numFmtId="0" fontId="282" fillId="53" borderId="67" xfId="0" applyFont="1" applyFill="1" applyBorder="1" applyAlignment="1">
      <alignment horizontal="center"/>
    </xf>
    <xf numFmtId="0" fontId="282" fillId="53" borderId="66" xfId="0" applyFont="1" applyFill="1" applyBorder="1" applyAlignment="1">
      <alignment horizontal="center"/>
    </xf>
    <xf numFmtId="195" fontId="282" fillId="55" borderId="66" xfId="1216" applyNumberFormat="1" applyFont="1" applyFill="1" applyBorder="1" applyAlignment="1">
      <alignment horizontal="center"/>
    </xf>
    <xf numFmtId="2" fontId="14" fillId="53" borderId="0" xfId="1433" applyNumberFormat="1" applyFont="1" applyFill="1"/>
    <xf numFmtId="2" fontId="66" fillId="53" borderId="0" xfId="1433" applyNumberFormat="1" applyFont="1" applyFill="1"/>
    <xf numFmtId="175" fontId="9" fillId="53" borderId="66" xfId="1433" applyNumberFormat="1" applyFont="1" applyFill="1" applyBorder="1" applyAlignment="1">
      <alignment horizontal="center"/>
    </xf>
    <xf numFmtId="1" fontId="129" fillId="53" borderId="0" xfId="1433" applyNumberFormat="1" applyFont="1" applyFill="1"/>
    <xf numFmtId="2" fontId="24" fillId="46" borderId="0" xfId="0" applyNumberFormat="1" applyFont="1" applyFill="1"/>
    <xf numFmtId="164" fontId="24" fillId="46" borderId="0" xfId="0" applyNumberFormat="1" applyFont="1" applyFill="1" applyAlignment="1">
      <alignment horizontal="left"/>
    </xf>
    <xf numFmtId="2" fontId="24" fillId="46" borderId="0" xfId="0" applyNumberFormat="1" applyFont="1" applyFill="1" applyAlignment="1">
      <alignment horizontal="left"/>
    </xf>
    <xf numFmtId="170" fontId="24" fillId="46" borderId="0" xfId="0" applyNumberFormat="1" applyFont="1" applyFill="1" applyAlignment="1">
      <alignment horizontal="left"/>
    </xf>
    <xf numFmtId="0" fontId="11" fillId="46" borderId="0" xfId="0" applyFont="1" applyFill="1" applyBorder="1" applyAlignment="1">
      <alignment horizontal="center"/>
    </xf>
    <xf numFmtId="0" fontId="49" fillId="46" borderId="0" xfId="0" applyFont="1" applyFill="1" applyAlignment="1">
      <alignment horizontal="center"/>
    </xf>
    <xf numFmtId="0" fontId="9" fillId="46" borderId="0" xfId="0" applyFont="1" applyFill="1" applyBorder="1" applyAlignment="1">
      <alignment horizontal="center" vertical="top" wrapText="1"/>
    </xf>
    <xf numFmtId="0" fontId="9" fillId="46" borderId="0" xfId="0" quotePrefix="1" applyFont="1" applyFill="1" applyAlignment="1">
      <alignment horizontal="center"/>
    </xf>
    <xf numFmtId="0" fontId="46" fillId="46" borderId="0" xfId="0" applyFont="1" applyFill="1" applyAlignment="1">
      <alignment horizontal="centerContinuous"/>
    </xf>
    <xf numFmtId="0" fontId="46" fillId="46" borderId="0" xfId="0" quotePrefix="1" applyFont="1" applyFill="1" applyAlignment="1">
      <alignment horizontal="centerContinuous"/>
    </xf>
    <xf numFmtId="0" fontId="51" fillId="46" borderId="0" xfId="0" applyFont="1" applyFill="1" applyAlignment="1">
      <alignment horizontal="center"/>
    </xf>
    <xf numFmtId="164" fontId="13" fillId="46" borderId="0" xfId="0" applyNumberFormat="1" applyFont="1" applyFill="1" applyAlignment="1">
      <alignment horizontal="left"/>
    </xf>
    <xf numFmtId="0" fontId="49" fillId="53" borderId="17" xfId="0" applyFont="1" applyFill="1" applyBorder="1" applyAlignment="1">
      <alignment horizontal="center" vertical="center"/>
    </xf>
    <xf numFmtId="4" fontId="49" fillId="53" borderId="17" xfId="0" applyNumberFormat="1" applyFont="1" applyFill="1" applyBorder="1"/>
    <xf numFmtId="170" fontId="14" fillId="53" borderId="17" xfId="1212" applyNumberFormat="1" applyFont="1" applyFill="1" applyBorder="1" applyAlignment="1">
      <alignment wrapText="1"/>
    </xf>
    <xf numFmtId="2" fontId="14" fillId="53" borderId="0" xfId="0" applyNumberFormat="1" applyFont="1" applyFill="1" applyAlignment="1">
      <alignment horizontal="left"/>
    </xf>
    <xf numFmtId="0" fontId="10" fillId="46" borderId="0" xfId="0" applyFont="1" applyFill="1" applyAlignment="1">
      <alignment horizontal="left"/>
    </xf>
    <xf numFmtId="0" fontId="49" fillId="46" borderId="17" xfId="0" applyFont="1" applyFill="1" applyBorder="1" applyAlignment="1">
      <alignment horizontal="center" vertical="center" wrapText="1"/>
    </xf>
    <xf numFmtId="0" fontId="49" fillId="46" borderId="17" xfId="0" applyFont="1" applyFill="1" applyBorder="1" applyAlignment="1">
      <alignment vertical="center" wrapText="1"/>
    </xf>
    <xf numFmtId="170" fontId="9" fillId="53" borderId="17" xfId="1212" applyNumberFormat="1" applyFont="1" applyFill="1" applyBorder="1" applyAlignment="1">
      <alignment wrapText="1"/>
    </xf>
    <xf numFmtId="170" fontId="11" fillId="53" borderId="17" xfId="1212" applyNumberFormat="1" applyFont="1" applyFill="1" applyBorder="1" applyAlignment="1">
      <alignment wrapText="1"/>
    </xf>
    <xf numFmtId="0" fontId="11" fillId="53" borderId="17" xfId="0" applyFont="1" applyFill="1" applyBorder="1" applyAlignment="1">
      <alignment horizontal="center" vertical="top" wrapText="1"/>
    </xf>
    <xf numFmtId="0" fontId="49" fillId="53" borderId="17" xfId="0" applyFont="1" applyFill="1" applyBorder="1" applyAlignment="1">
      <alignment wrapText="1"/>
    </xf>
    <xf numFmtId="194" fontId="49" fillId="53" borderId="17" xfId="1215" applyNumberFormat="1" applyFont="1" applyFill="1" applyBorder="1" applyAlignment="1">
      <alignment horizontal="right" wrapText="1"/>
    </xf>
    <xf numFmtId="173" fontId="49" fillId="53" borderId="17" xfId="1215" applyNumberFormat="1" applyFont="1" applyFill="1" applyBorder="1" applyAlignment="1">
      <alignment horizontal="right" wrapText="1"/>
    </xf>
    <xf numFmtId="170" fontId="9" fillId="53" borderId="17" xfId="0" applyNumberFormat="1" applyFont="1" applyFill="1" applyBorder="1" applyAlignment="1"/>
    <xf numFmtId="4" fontId="11" fillId="53" borderId="17" xfId="0" applyNumberFormat="1" applyFont="1" applyFill="1" applyBorder="1"/>
    <xf numFmtId="173" fontId="9" fillId="53" borderId="17" xfId="1215" applyNumberFormat="1" applyFont="1" applyFill="1" applyBorder="1" applyAlignment="1">
      <alignment horizontal="right" wrapText="1"/>
    </xf>
    <xf numFmtId="0" fontId="46" fillId="53" borderId="0" xfId="0" quotePrefix="1" applyFont="1" applyFill="1" applyAlignment="1">
      <alignment horizontal="centerContinuous"/>
    </xf>
    <xf numFmtId="0" fontId="46" fillId="53" borderId="0" xfId="0" applyFont="1" applyFill="1" applyAlignment="1">
      <alignment horizontal="centerContinuous"/>
    </xf>
    <xf numFmtId="0" fontId="49" fillId="53" borderId="0" xfId="0" quotePrefix="1" applyFont="1" applyFill="1" applyAlignment="1">
      <alignment horizontal="centerContinuous"/>
    </xf>
    <xf numFmtId="0" fontId="51" fillId="53" borderId="17" xfId="0" applyFont="1" applyFill="1" applyBorder="1" applyAlignment="1">
      <alignment horizontal="center" vertical="top" wrapText="1"/>
    </xf>
    <xf numFmtId="170" fontId="11" fillId="53" borderId="17" xfId="1215" applyNumberFormat="1" applyFont="1" applyFill="1" applyBorder="1" applyAlignment="1">
      <alignment horizontal="right" wrapText="1"/>
    </xf>
    <xf numFmtId="170" fontId="11" fillId="53" borderId="17" xfId="0" applyNumberFormat="1" applyFont="1" applyFill="1" applyBorder="1" applyAlignment="1">
      <alignment wrapText="1"/>
    </xf>
    <xf numFmtId="170" fontId="49" fillId="53" borderId="17" xfId="0" applyNumberFormat="1" applyFont="1" applyFill="1" applyBorder="1" applyAlignment="1">
      <alignment vertical="center" wrapText="1"/>
    </xf>
    <xf numFmtId="0" fontId="9" fillId="53" borderId="0" xfId="0" applyFont="1" applyFill="1" applyBorder="1" applyAlignment="1">
      <alignment vertical="top" wrapText="1"/>
    </xf>
    <xf numFmtId="0" fontId="49" fillId="53" borderId="0" xfId="0" applyFont="1" applyFill="1" applyAlignment="1">
      <alignment horizontal="center"/>
    </xf>
    <xf numFmtId="170" fontId="11" fillId="53" borderId="17" xfId="0" applyNumberFormat="1" applyFont="1" applyFill="1" applyBorder="1"/>
    <xf numFmtId="0" fontId="11" fillId="53" borderId="17" xfId="0" applyFont="1" applyFill="1" applyBorder="1" applyAlignment="1">
      <alignment horizontal="center" vertical="center"/>
    </xf>
    <xf numFmtId="170" fontId="14" fillId="53" borderId="17" xfId="0" applyNumberFormat="1" applyFont="1" applyFill="1" applyBorder="1" applyAlignment="1">
      <alignment vertical="center" wrapText="1"/>
    </xf>
    <xf numFmtId="170" fontId="14" fillId="53" borderId="17" xfId="0" applyNumberFormat="1" applyFont="1" applyFill="1" applyBorder="1" applyAlignment="1">
      <alignment wrapText="1"/>
    </xf>
    <xf numFmtId="0" fontId="14" fillId="53" borderId="17" xfId="0" applyFont="1" applyFill="1" applyBorder="1"/>
    <xf numFmtId="0" fontId="9" fillId="53" borderId="17" xfId="0" applyFont="1" applyFill="1" applyBorder="1"/>
    <xf numFmtId="0" fontId="9" fillId="53" borderId="17" xfId="0" applyFont="1" applyFill="1" applyBorder="1" applyAlignment="1"/>
    <xf numFmtId="0" fontId="9" fillId="53" borderId="17" xfId="0" applyFont="1" applyFill="1" applyBorder="1" applyAlignment="1">
      <alignment wrapText="1"/>
    </xf>
    <xf numFmtId="0" fontId="11" fillId="0" borderId="17" xfId="0" applyFont="1" applyBorder="1" applyAlignment="1">
      <alignment horizontal="center"/>
    </xf>
    <xf numFmtId="170" fontId="11" fillId="53" borderId="17" xfId="0" applyNumberFormat="1" applyFont="1" applyFill="1" applyBorder="1" applyAlignment="1"/>
    <xf numFmtId="0" fontId="77" fillId="46" borderId="17" xfId="0" applyFont="1" applyFill="1" applyBorder="1" applyAlignment="1">
      <alignment horizontal="left" vertical="top"/>
    </xf>
    <xf numFmtId="0" fontId="83" fillId="46" borderId="17" xfId="0" applyFont="1" applyFill="1" applyBorder="1" applyAlignment="1">
      <alignment wrapText="1"/>
    </xf>
    <xf numFmtId="0" fontId="83" fillId="48" borderId="17" xfId="1209" applyFont="1" applyFill="1" applyBorder="1" applyAlignment="1">
      <alignment horizontal="left" wrapText="1"/>
    </xf>
    <xf numFmtId="0" fontId="11" fillId="0" borderId="17" xfId="0" applyFont="1" applyBorder="1" applyAlignment="1">
      <alignment horizontal="left" vertical="center" wrapText="1"/>
    </xf>
    <xf numFmtId="0" fontId="49" fillId="53" borderId="17" xfId="0" applyFont="1" applyFill="1" applyBorder="1" applyAlignment="1">
      <alignment horizontal="left" vertical="center" wrapText="1"/>
    </xf>
    <xf numFmtId="0" fontId="11" fillId="53" borderId="17" xfId="0" applyFont="1" applyFill="1" applyBorder="1" applyAlignment="1">
      <alignment horizontal="left" vertical="center" wrapText="1"/>
    </xf>
    <xf numFmtId="0" fontId="11" fillId="46" borderId="17" xfId="0" applyFont="1" applyFill="1" applyBorder="1" applyAlignment="1">
      <alignment horizontal="center" wrapText="1"/>
    </xf>
    <xf numFmtId="1" fontId="5" fillId="0" borderId="0" xfId="1435" applyNumberFormat="1"/>
    <xf numFmtId="4" fontId="305" fillId="56" borderId="17" xfId="0" applyNumberFormat="1" applyFont="1" applyFill="1" applyBorder="1"/>
    <xf numFmtId="0" fontId="292" fillId="0" borderId="0" xfId="0" applyFont="1" applyBorder="1"/>
    <xf numFmtId="0" fontId="33" fillId="53" borderId="23" xfId="1208" applyFont="1" applyFill="1" applyBorder="1" applyAlignment="1">
      <alignment horizontal="center" wrapText="1"/>
    </xf>
    <xf numFmtId="173" fontId="159" fillId="53" borderId="0" xfId="0" applyNumberFormat="1" applyFont="1" applyFill="1"/>
    <xf numFmtId="0" fontId="33" fillId="53" borderId="0" xfId="0" applyFont="1" applyFill="1" applyAlignment="1">
      <alignment horizontal="center"/>
    </xf>
    <xf numFmtId="0" fontId="288" fillId="53" borderId="0" xfId="0" applyFont="1" applyFill="1"/>
    <xf numFmtId="0" fontId="0" fillId="53" borderId="22" xfId="0" applyFont="1" applyFill="1" applyBorder="1" applyAlignment="1">
      <alignment horizontal="center" wrapText="1"/>
    </xf>
    <xf numFmtId="0" fontId="33" fillId="53" borderId="0" xfId="0" applyFont="1" applyFill="1" applyAlignment="1">
      <alignment horizontal="right"/>
    </xf>
    <xf numFmtId="10" fontId="255" fillId="53" borderId="0" xfId="0" applyNumberFormat="1" applyFont="1" applyFill="1" applyAlignment="1">
      <alignment horizontal="left"/>
    </xf>
    <xf numFmtId="164" fontId="142" fillId="46" borderId="0" xfId="0" applyNumberFormat="1" applyFont="1" applyFill="1"/>
    <xf numFmtId="164" fontId="288" fillId="53" borderId="0" xfId="0" applyNumberFormat="1" applyFont="1" applyFill="1" applyAlignment="1">
      <alignment horizontal="left"/>
    </xf>
    <xf numFmtId="169" fontId="51" fillId="56" borderId="20" xfId="0" applyNumberFormat="1" applyFont="1" applyFill="1" applyBorder="1"/>
    <xf numFmtId="0" fontId="66" fillId="53" borderId="0" xfId="1433" quotePrefix="1" applyFont="1" applyFill="1"/>
    <xf numFmtId="175" fontId="5" fillId="53" borderId="0" xfId="1433" applyNumberFormat="1" applyFont="1" applyFill="1"/>
    <xf numFmtId="168" fontId="14" fillId="53" borderId="0" xfId="1433" applyNumberFormat="1" applyFont="1" applyFill="1"/>
    <xf numFmtId="10" fontId="66" fillId="53" borderId="0" xfId="1433" applyNumberFormat="1" applyFont="1" applyFill="1"/>
    <xf numFmtId="169" fontId="9" fillId="53" borderId="66" xfId="1433" applyNumberFormat="1" applyFont="1" applyFill="1" applyBorder="1" applyAlignment="1">
      <alignment horizontal="left"/>
    </xf>
    <xf numFmtId="202" fontId="9" fillId="53" borderId="66" xfId="1433" applyNumberFormat="1" applyFont="1" applyFill="1" applyBorder="1" applyAlignment="1">
      <alignment horizontal="left"/>
    </xf>
    <xf numFmtId="168" fontId="14" fillId="53" borderId="0" xfId="1433" applyNumberFormat="1" applyFont="1" applyFill="1" applyAlignment="1">
      <alignment horizontal="right"/>
    </xf>
    <xf numFmtId="0" fontId="108" fillId="0" borderId="0" xfId="1435" applyFont="1" applyAlignment="1">
      <alignment horizontal="left"/>
    </xf>
    <xf numFmtId="0" fontId="130" fillId="53" borderId="0" xfId="1435" applyFont="1" applyFill="1" applyBorder="1" applyAlignment="1">
      <alignment horizontal="left" vertical="center" wrapText="1"/>
    </xf>
    <xf numFmtId="0" fontId="126" fillId="0" borderId="0" xfId="1435" applyFont="1" applyAlignment="1">
      <alignment horizontal="center" wrapText="1"/>
    </xf>
    <xf numFmtId="169" fontId="13" fillId="53" borderId="0" xfId="1433" applyNumberFormat="1" applyFont="1" applyFill="1"/>
    <xf numFmtId="168" fontId="9" fillId="53" borderId="17" xfId="1433" applyNumberFormat="1" applyFont="1" applyFill="1" applyBorder="1" applyAlignment="1">
      <alignment horizontal="center"/>
    </xf>
    <xf numFmtId="166" fontId="9" fillId="53" borderId="17" xfId="1433" applyNumberFormat="1" applyFont="1" applyFill="1" applyBorder="1" applyAlignment="1">
      <alignment horizontal="center"/>
    </xf>
    <xf numFmtId="167" fontId="9" fillId="53" borderId="17" xfId="1433" applyNumberFormat="1" applyFont="1" applyFill="1" applyBorder="1" applyAlignment="1">
      <alignment horizontal="center"/>
    </xf>
    <xf numFmtId="168" fontId="54" fillId="53" borderId="0" xfId="1433" applyNumberFormat="1" applyFont="1" applyFill="1"/>
    <xf numFmtId="0" fontId="127" fillId="53" borderId="0" xfId="1435" applyFont="1" applyFill="1"/>
    <xf numFmtId="0" fontId="5" fillId="53" borderId="0" xfId="1435" applyFont="1" applyFill="1"/>
    <xf numFmtId="0" fontId="126" fillId="53" borderId="0" xfId="1435" applyFont="1" applyFill="1" applyAlignment="1">
      <alignment vertical="center" wrapText="1"/>
    </xf>
    <xf numFmtId="0" fontId="126" fillId="53" borderId="0" xfId="1435" applyFont="1" applyFill="1" applyAlignment="1">
      <alignment horizontal="center" wrapText="1"/>
    </xf>
    <xf numFmtId="0" fontId="20" fillId="53" borderId="0" xfId="1435" applyFont="1" applyFill="1" applyBorder="1" applyAlignment="1">
      <alignment vertical="center" wrapText="1"/>
    </xf>
    <xf numFmtId="169" fontId="5" fillId="53" borderId="0" xfId="1435" applyNumberFormat="1" applyFont="1" applyFill="1"/>
    <xf numFmtId="171" fontId="5" fillId="53" borderId="0" xfId="1435" applyNumberFormat="1" applyFont="1" applyFill="1"/>
    <xf numFmtId="0" fontId="130" fillId="53" borderId="23" xfId="1435" applyFont="1" applyFill="1" applyBorder="1" applyAlignment="1">
      <alignment horizontal="center" vertical="center"/>
    </xf>
    <xf numFmtId="0" fontId="130" fillId="53" borderId="55" xfId="1435" applyFont="1" applyFill="1" applyBorder="1" applyAlignment="1">
      <alignment horizontal="center" vertical="center"/>
    </xf>
    <xf numFmtId="0" fontId="5" fillId="53" borderId="0" xfId="1435" applyFont="1" applyFill="1" applyBorder="1"/>
    <xf numFmtId="1" fontId="5" fillId="53" borderId="0" xfId="1435" applyNumberFormat="1" applyFont="1" applyFill="1"/>
    <xf numFmtId="0" fontId="66" fillId="53" borderId="0" xfId="1435" applyFont="1" applyFill="1"/>
    <xf numFmtId="1" fontId="5" fillId="53" borderId="0" xfId="1435" applyNumberFormat="1" applyFont="1" applyFill="1" applyBorder="1" applyAlignment="1">
      <alignment horizontal="right"/>
    </xf>
    <xf numFmtId="1" fontId="5" fillId="53" borderId="0" xfId="1435" applyNumberFormat="1" applyFont="1" applyFill="1" applyAlignment="1">
      <alignment horizontal="right"/>
    </xf>
    <xf numFmtId="168" fontId="5" fillId="53" borderId="0" xfId="1435" applyNumberFormat="1" applyFont="1" applyFill="1" applyBorder="1" applyAlignment="1">
      <alignment horizontal="right"/>
    </xf>
    <xf numFmtId="168" fontId="5" fillId="53" borderId="0" xfId="1435" applyNumberFormat="1" applyFont="1" applyFill="1" applyAlignment="1">
      <alignment horizontal="right"/>
    </xf>
    <xf numFmtId="202" fontId="5" fillId="53" borderId="0" xfId="1435" applyNumberFormat="1" applyFont="1" applyFill="1"/>
    <xf numFmtId="168" fontId="66" fillId="53" borderId="0" xfId="1435" applyNumberFormat="1" applyFont="1" applyFill="1" applyAlignment="1">
      <alignment horizontal="right"/>
    </xf>
    <xf numFmtId="0" fontId="66" fillId="53" borderId="0" xfId="1435" applyFont="1" applyFill="1" applyBorder="1" applyAlignment="1">
      <alignment horizontal="center"/>
    </xf>
    <xf numFmtId="0" fontId="108" fillId="53" borderId="0" xfId="1435" applyFont="1" applyFill="1"/>
    <xf numFmtId="0" fontId="108" fillId="53" borderId="0" xfId="1435" applyFont="1" applyFill="1" applyAlignment="1">
      <alignment horizontal="left"/>
    </xf>
    <xf numFmtId="0" fontId="11" fillId="0" borderId="17" xfId="0" applyFont="1" applyBorder="1" applyAlignment="1">
      <alignment horizontal="right" wrapText="1"/>
    </xf>
    <xf numFmtId="0" fontId="326" fillId="0" borderId="0" xfId="0" applyFont="1"/>
    <xf numFmtId="0" fontId="292" fillId="0" borderId="0" xfId="0" applyFont="1"/>
    <xf numFmtId="4" fontId="280" fillId="46" borderId="0" xfId="0" applyNumberFormat="1" applyFont="1" applyFill="1"/>
    <xf numFmtId="4" fontId="280" fillId="0" borderId="0" xfId="0" applyNumberFormat="1" applyFont="1"/>
    <xf numFmtId="169" fontId="9" fillId="0" borderId="17" xfId="0" applyNumberFormat="1" applyFont="1" applyBorder="1"/>
    <xf numFmtId="164" fontId="9" fillId="0" borderId="17" xfId="0" applyNumberFormat="1" applyFont="1" applyBorder="1"/>
    <xf numFmtId="0" fontId="159" fillId="56" borderId="17" xfId="0" applyFont="1" applyFill="1" applyBorder="1" applyAlignment="1">
      <alignment horizontal="right"/>
    </xf>
    <xf numFmtId="0" fontId="33" fillId="56" borderId="17" xfId="1208" applyFont="1" applyFill="1" applyBorder="1" applyAlignment="1">
      <alignment wrapText="1"/>
    </xf>
    <xf numFmtId="0" fontId="33" fillId="56" borderId="17" xfId="1208" applyFont="1" applyFill="1" applyBorder="1" applyAlignment="1">
      <alignment horizontal="center" wrapText="1"/>
    </xf>
    <xf numFmtId="0" fontId="33" fillId="56" borderId="17" xfId="0" applyFont="1" applyFill="1" applyBorder="1" applyAlignment="1">
      <alignment horizontal="center" wrapText="1"/>
    </xf>
    <xf numFmtId="173" fontId="159" fillId="56" borderId="17" xfId="1215" applyNumberFormat="1" applyFont="1" applyFill="1" applyBorder="1" applyAlignment="1">
      <alignment horizontal="center" wrapText="1"/>
    </xf>
    <xf numFmtId="0" fontId="33" fillId="56" borderId="23" xfId="1208" applyFont="1" applyFill="1" applyBorder="1" applyAlignment="1">
      <alignment horizontal="center" vertical="center" wrapText="1"/>
    </xf>
    <xf numFmtId="0" fontId="14" fillId="53" borderId="0" xfId="0" applyFont="1" applyFill="1" applyAlignment="1">
      <alignment horizontal="right"/>
    </xf>
    <xf numFmtId="0" fontId="16" fillId="53" borderId="17" xfId="0" applyFont="1" applyFill="1" applyBorder="1"/>
    <xf numFmtId="0" fontId="16" fillId="53" borderId="22" xfId="0" applyFont="1" applyFill="1" applyBorder="1"/>
    <xf numFmtId="0" fontId="16" fillId="53" borderId="23" xfId="0" applyFont="1" applyFill="1" applyBorder="1"/>
    <xf numFmtId="0" fontId="16" fillId="53" borderId="28" xfId="0" applyFont="1" applyFill="1" applyBorder="1"/>
    <xf numFmtId="0" fontId="16" fillId="53" borderId="29" xfId="0" applyFont="1" applyFill="1" applyBorder="1"/>
    <xf numFmtId="0" fontId="16" fillId="53" borderId="30" xfId="0" applyFont="1" applyFill="1" applyBorder="1"/>
    <xf numFmtId="0" fontId="16" fillId="53" borderId="20" xfId="0" applyFont="1" applyFill="1" applyBorder="1"/>
    <xf numFmtId="0" fontId="16" fillId="53" borderId="48" xfId="0" applyFont="1" applyFill="1" applyBorder="1"/>
    <xf numFmtId="0" fontId="16" fillId="53" borderId="17" xfId="0" quotePrefix="1" applyFont="1" applyFill="1" applyBorder="1" applyAlignment="1">
      <alignment horizontal="left"/>
    </xf>
    <xf numFmtId="0" fontId="11" fillId="53" borderId="0" xfId="1181" applyFont="1" applyFill="1" applyAlignment="1"/>
    <xf numFmtId="168" fontId="11" fillId="53" borderId="0" xfId="1181" applyNumberFormat="1" applyFont="1" applyFill="1"/>
    <xf numFmtId="0" fontId="126" fillId="53" borderId="0" xfId="1181" applyFont="1" applyFill="1"/>
    <xf numFmtId="0" fontId="11" fillId="53" borderId="0" xfId="1181" applyFont="1" applyFill="1"/>
    <xf numFmtId="168" fontId="49" fillId="53" borderId="0" xfId="1181" applyNumberFormat="1" applyFont="1" applyFill="1" applyAlignment="1">
      <alignment horizontal="left"/>
    </xf>
    <xf numFmtId="0" fontId="16" fillId="53" borderId="0" xfId="0" applyFont="1" applyFill="1" applyAlignment="1">
      <alignment horizontal="center"/>
    </xf>
    <xf numFmtId="0" fontId="17" fillId="53" borderId="0" xfId="0" applyFont="1" applyFill="1" applyAlignment="1">
      <alignment horizontal="center"/>
    </xf>
    <xf numFmtId="0" fontId="16" fillId="53" borderId="17" xfId="0" applyFont="1" applyFill="1" applyBorder="1" applyAlignment="1">
      <alignment wrapText="1"/>
    </xf>
    <xf numFmtId="0" fontId="16" fillId="53" borderId="28" xfId="0" applyFont="1" applyFill="1" applyBorder="1" applyAlignment="1">
      <alignment wrapText="1"/>
    </xf>
    <xf numFmtId="199" fontId="16" fillId="53" borderId="23" xfId="1215" applyNumberFormat="1" applyFont="1" applyFill="1" applyBorder="1" applyAlignment="1">
      <alignment horizontal="right" wrapText="1"/>
    </xf>
    <xf numFmtId="173" fontId="16" fillId="53" borderId="22" xfId="1215" applyNumberFormat="1" applyFont="1" applyFill="1" applyBorder="1" applyAlignment="1">
      <alignment horizontal="right" wrapText="1"/>
    </xf>
    <xf numFmtId="0" fontId="16" fillId="53" borderId="0" xfId="0" quotePrefix="1" applyFont="1" applyFill="1" applyBorder="1" applyAlignment="1">
      <alignment horizontal="left" wrapText="1"/>
    </xf>
    <xf numFmtId="0" fontId="16" fillId="53" borderId="20" xfId="0" applyFont="1" applyFill="1" applyBorder="1" applyAlignment="1"/>
    <xf numFmtId="0" fontId="16" fillId="53" borderId="17" xfId="0" quotePrefix="1" applyFont="1" applyFill="1" applyBorder="1" applyAlignment="1">
      <alignment horizontal="left" wrapText="1"/>
    </xf>
    <xf numFmtId="0" fontId="16" fillId="53" borderId="27" xfId="0" applyFont="1" applyFill="1" applyBorder="1" applyAlignment="1"/>
    <xf numFmtId="165" fontId="16" fillId="53" borderId="29" xfId="0" applyNumberFormat="1" applyFont="1" applyFill="1" applyBorder="1" applyAlignment="1"/>
    <xf numFmtId="165" fontId="16" fillId="53" borderId="23" xfId="0" applyNumberFormat="1" applyFont="1" applyFill="1" applyBorder="1" applyAlignment="1"/>
    <xf numFmtId="165" fontId="11" fillId="53" borderId="0" xfId="1181" applyNumberFormat="1" applyFont="1" applyFill="1"/>
    <xf numFmtId="0" fontId="21" fillId="53" borderId="0" xfId="0" applyFont="1" applyFill="1" applyAlignment="1">
      <alignment horizontal="left"/>
    </xf>
    <xf numFmtId="3" fontId="51" fillId="53" borderId="0" xfId="0" applyNumberFormat="1" applyFont="1" applyFill="1" applyBorder="1" applyAlignment="1">
      <alignment horizontal="left"/>
    </xf>
    <xf numFmtId="0" fontId="17" fillId="53" borderId="0" xfId="0" applyFont="1" applyFill="1"/>
    <xf numFmtId="0" fontId="14" fillId="53" borderId="0" xfId="0" quotePrefix="1" applyFont="1" applyFill="1" applyAlignment="1">
      <alignment horizontal="centerContinuous"/>
    </xf>
    <xf numFmtId="0" fontId="16" fillId="53" borderId="0" xfId="0" quotePrefix="1" applyFont="1" applyFill="1" applyAlignment="1">
      <alignment horizontal="centerContinuous"/>
    </xf>
    <xf numFmtId="0" fontId="16" fillId="53" borderId="24" xfId="0" applyFont="1" applyFill="1" applyBorder="1" applyAlignment="1">
      <alignment horizontal="center"/>
    </xf>
    <xf numFmtId="0" fontId="16" fillId="53" borderId="0" xfId="0" applyFont="1" applyFill="1" applyBorder="1" applyAlignment="1">
      <alignment horizontal="right"/>
    </xf>
    <xf numFmtId="0" fontId="16" fillId="53" borderId="22" xfId="0" applyFont="1" applyFill="1" applyBorder="1" applyAlignment="1">
      <alignment horizontal="center"/>
    </xf>
    <xf numFmtId="0" fontId="53" fillId="53" borderId="17" xfId="0" applyFont="1" applyFill="1" applyBorder="1" applyAlignment="1">
      <alignment horizontal="center"/>
    </xf>
    <xf numFmtId="0" fontId="53" fillId="53" borderId="17" xfId="0" applyFont="1" applyFill="1" applyBorder="1" applyAlignment="1">
      <alignment horizontal="center" wrapText="1"/>
    </xf>
    <xf numFmtId="0" fontId="53" fillId="53" borderId="0" xfId="0" applyFont="1" applyFill="1" applyAlignment="1">
      <alignment horizontal="center"/>
    </xf>
    <xf numFmtId="0" fontId="16" fillId="53" borderId="22" xfId="0" quotePrefix="1" applyFont="1" applyFill="1" applyBorder="1" applyAlignment="1">
      <alignment horizontal="left" wrapText="1"/>
    </xf>
    <xf numFmtId="166" fontId="16" fillId="53" borderId="17" xfId="0" applyNumberFormat="1" applyFont="1" applyFill="1" applyBorder="1" applyAlignment="1"/>
    <xf numFmtId="167" fontId="16" fillId="53" borderId="17" xfId="0" applyNumberFormat="1" applyFont="1" applyFill="1" applyBorder="1" applyAlignment="1"/>
    <xf numFmtId="195" fontId="16" fillId="53" borderId="17" xfId="1215" applyNumberFormat="1" applyFont="1" applyFill="1" applyBorder="1" applyAlignment="1">
      <alignment horizontal="right" wrapText="1"/>
    </xf>
    <xf numFmtId="197" fontId="16" fillId="53" borderId="17" xfId="0" applyNumberFormat="1" applyFont="1" applyFill="1" applyBorder="1" applyAlignment="1"/>
    <xf numFmtId="197" fontId="16" fillId="53" borderId="17" xfId="1215" applyNumberFormat="1" applyFont="1" applyFill="1" applyBorder="1" applyAlignment="1">
      <alignment horizontal="right" wrapText="1"/>
    </xf>
    <xf numFmtId="168" fontId="16" fillId="53" borderId="17" xfId="0" applyNumberFormat="1" applyFont="1" applyFill="1" applyBorder="1" applyAlignment="1"/>
    <xf numFmtId="195" fontId="16" fillId="53" borderId="17" xfId="0" applyNumberFormat="1" applyFont="1" applyFill="1" applyBorder="1" applyAlignment="1"/>
    <xf numFmtId="0" fontId="16" fillId="53" borderId="17" xfId="0" applyFont="1" applyFill="1" applyBorder="1" applyAlignment="1">
      <alignment horizontal="left"/>
    </xf>
    <xf numFmtId="166" fontId="16" fillId="53" borderId="17" xfId="1215" applyNumberFormat="1" applyFont="1" applyFill="1" applyBorder="1" applyAlignment="1">
      <alignment horizontal="right" wrapText="1"/>
    </xf>
    <xf numFmtId="0" fontId="16" fillId="53" borderId="23" xfId="0" applyFont="1" applyFill="1" applyBorder="1" applyAlignment="1">
      <alignment wrapText="1"/>
    </xf>
    <xf numFmtId="0" fontId="16" fillId="53" borderId="29" xfId="0" applyFont="1" applyFill="1" applyBorder="1" applyAlignment="1">
      <alignment wrapText="1"/>
    </xf>
    <xf numFmtId="1" fontId="16" fillId="53" borderId="29" xfId="0" applyNumberFormat="1" applyFont="1" applyFill="1" applyBorder="1" applyAlignment="1"/>
    <xf numFmtId="1" fontId="16" fillId="53" borderId="23" xfId="0" applyNumberFormat="1" applyFont="1" applyFill="1" applyBorder="1" applyAlignment="1"/>
    <xf numFmtId="0" fontId="16" fillId="53" borderId="0" xfId="0" applyFont="1" applyFill="1" applyBorder="1" applyAlignment="1">
      <alignment wrapText="1"/>
    </xf>
    <xf numFmtId="1" fontId="16" fillId="53" borderId="0" xfId="0" applyNumberFormat="1" applyFont="1" applyFill="1" applyBorder="1" applyAlignment="1"/>
    <xf numFmtId="1" fontId="16" fillId="53" borderId="20" xfId="0" applyNumberFormat="1" applyFont="1" applyFill="1" applyBorder="1" applyAlignment="1"/>
    <xf numFmtId="0" fontId="16" fillId="53" borderId="0" xfId="0" applyFont="1" applyFill="1" applyBorder="1" applyAlignment="1"/>
    <xf numFmtId="166" fontId="16" fillId="53" borderId="20" xfId="0" applyNumberFormat="1" applyFont="1" applyFill="1" applyBorder="1" applyAlignment="1"/>
    <xf numFmtId="166" fontId="16" fillId="53" borderId="23" xfId="1215" applyNumberFormat="1" applyFont="1" applyFill="1" applyBorder="1" applyAlignment="1">
      <alignment horizontal="right" wrapText="1"/>
    </xf>
    <xf numFmtId="166" fontId="16" fillId="53" borderId="23" xfId="0" applyNumberFormat="1" applyFont="1" applyFill="1" applyBorder="1" applyAlignment="1"/>
    <xf numFmtId="166" fontId="16" fillId="53" borderId="29" xfId="0" applyNumberFormat="1" applyFont="1" applyFill="1" applyBorder="1" applyAlignment="1"/>
    <xf numFmtId="195" fontId="16" fillId="53" borderId="23" xfId="1215" applyNumberFormat="1" applyFont="1" applyFill="1" applyBorder="1" applyAlignment="1">
      <alignment horizontal="right" wrapText="1"/>
    </xf>
    <xf numFmtId="168" fontId="16" fillId="53" borderId="0" xfId="0" applyNumberFormat="1" applyFont="1" applyFill="1" applyBorder="1" applyAlignment="1"/>
    <xf numFmtId="168" fontId="16" fillId="53" borderId="20" xfId="0" applyNumberFormat="1" applyFont="1" applyFill="1" applyBorder="1" applyAlignment="1"/>
    <xf numFmtId="0" fontId="16" fillId="53" borderId="28" xfId="0" applyFont="1" applyFill="1" applyBorder="1" applyAlignment="1">
      <alignment vertical="top"/>
    </xf>
    <xf numFmtId="0" fontId="16" fillId="53" borderId="28" xfId="0" applyFont="1" applyFill="1" applyBorder="1" applyAlignment="1"/>
    <xf numFmtId="0" fontId="16" fillId="53" borderId="48" xfId="0" applyFont="1" applyFill="1" applyBorder="1" applyAlignment="1"/>
    <xf numFmtId="0" fontId="16" fillId="53" borderId="30" xfId="0" applyFont="1" applyFill="1" applyBorder="1" applyAlignment="1"/>
    <xf numFmtId="168" fontId="16" fillId="53" borderId="0" xfId="0" applyNumberFormat="1" applyFont="1" applyFill="1"/>
    <xf numFmtId="3" fontId="50" fillId="53" borderId="0" xfId="0" applyNumberFormat="1" applyFont="1" applyFill="1" applyBorder="1" applyAlignment="1">
      <alignment horizontal="left"/>
    </xf>
    <xf numFmtId="0" fontId="37" fillId="0" borderId="0" xfId="0" applyFont="1" applyAlignment="1">
      <alignment horizontal="center"/>
    </xf>
    <xf numFmtId="0" fontId="159" fillId="0" borderId="23" xfId="0" applyFont="1" applyBorder="1" applyAlignment="1">
      <alignment horizontal="center" vertical="center" wrapText="1"/>
    </xf>
    <xf numFmtId="0" fontId="159" fillId="0" borderId="20" xfId="0" applyFont="1" applyBorder="1" applyAlignment="1">
      <alignment horizontal="center" vertical="center" wrapText="1"/>
    </xf>
    <xf numFmtId="0" fontId="159" fillId="0" borderId="22" xfId="0" applyFont="1" applyBorder="1" applyAlignment="1">
      <alignment horizontal="center" vertical="center" wrapText="1"/>
    </xf>
    <xf numFmtId="0" fontId="159" fillId="0" borderId="33" xfId="0" applyNumberFormat="1" applyFont="1" applyBorder="1" applyAlignment="1">
      <alignment horizontal="center" vertical="center"/>
    </xf>
    <xf numFmtId="0" fontId="159" fillId="0" borderId="6" xfId="0" applyNumberFormat="1" applyFont="1" applyBorder="1" applyAlignment="1">
      <alignment horizontal="center" vertical="center"/>
    </xf>
    <xf numFmtId="0" fontId="159" fillId="0" borderId="17" xfId="0" applyNumberFormat="1" applyFont="1" applyBorder="1" applyAlignment="1">
      <alignment horizontal="center" vertical="center"/>
    </xf>
    <xf numFmtId="0" fontId="159" fillId="0" borderId="23" xfId="0" applyNumberFormat="1" applyFont="1" applyBorder="1" applyAlignment="1">
      <alignment horizontal="center" vertical="center" wrapText="1"/>
    </xf>
    <xf numFmtId="0" fontId="159" fillId="0" borderId="22" xfId="0" applyNumberFormat="1" applyFont="1" applyBorder="1" applyAlignment="1">
      <alignment horizontal="center" vertical="center" wrapText="1"/>
    </xf>
    <xf numFmtId="0" fontId="0" fillId="53" borderId="33" xfId="0" applyFont="1" applyFill="1" applyBorder="1" applyAlignment="1">
      <alignment horizontal="center" vertical="top"/>
    </xf>
    <xf numFmtId="0" fontId="0" fillId="53" borderId="6" xfId="0" applyFont="1" applyFill="1" applyBorder="1" applyAlignment="1">
      <alignment horizontal="center" vertical="top"/>
    </xf>
    <xf numFmtId="0" fontId="66" fillId="53" borderId="23" xfId="0" applyFont="1" applyFill="1" applyBorder="1" applyAlignment="1">
      <alignment horizontal="right"/>
    </xf>
    <xf numFmtId="0" fontId="66" fillId="53" borderId="22" xfId="0" applyFont="1" applyFill="1" applyBorder="1" applyAlignment="1">
      <alignment horizontal="right"/>
    </xf>
    <xf numFmtId="0" fontId="9" fillId="0" borderId="23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2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66" xfId="0" applyFont="1" applyBorder="1" applyAlignment="1">
      <alignment horizontal="center" vertical="center"/>
    </xf>
    <xf numFmtId="0" fontId="12" fillId="0" borderId="66" xfId="0" applyFont="1" applyBorder="1" applyAlignment="1">
      <alignment horizontal="left" vertical="center" wrapText="1" indent="1"/>
    </xf>
    <xf numFmtId="0" fontId="12" fillId="0" borderId="66" xfId="0" applyFont="1" applyBorder="1" applyAlignment="1">
      <alignment horizontal="center" vertical="center" wrapText="1"/>
    </xf>
    <xf numFmtId="0" fontId="9" fillId="0" borderId="66" xfId="0" applyFont="1" applyBorder="1" applyAlignment="1">
      <alignment horizontal="left" vertical="center" indent="1"/>
    </xf>
    <xf numFmtId="0" fontId="9" fillId="0" borderId="66" xfId="0" applyFont="1" applyBorder="1" applyAlignment="1">
      <alignment horizontal="left" vertical="center" indent="7"/>
    </xf>
    <xf numFmtId="0" fontId="9" fillId="0" borderId="66" xfId="0" applyFont="1" applyBorder="1" applyAlignment="1">
      <alignment horizontal="center" vertical="center" wrapText="1"/>
    </xf>
    <xf numFmtId="0" fontId="9" fillId="0" borderId="66" xfId="0" applyFont="1" applyBorder="1" applyAlignment="1">
      <alignment horizontal="left" vertical="center" wrapText="1" indent="1"/>
    </xf>
    <xf numFmtId="200" fontId="9" fillId="0" borderId="66" xfId="0" applyNumberFormat="1" applyFont="1" applyBorder="1" applyAlignment="1">
      <alignment horizontal="left" vertical="center" wrapText="1" indent="1"/>
    </xf>
    <xf numFmtId="0" fontId="9" fillId="0" borderId="67" xfId="0" applyFont="1" applyBorder="1" applyAlignment="1">
      <alignment horizontal="center" vertical="center"/>
    </xf>
    <xf numFmtId="0" fontId="9" fillId="0" borderId="77" xfId="0" applyFont="1" applyBorder="1" applyAlignment="1">
      <alignment horizontal="center" vertical="center"/>
    </xf>
    <xf numFmtId="200" fontId="9" fillId="0" borderId="66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9" fillId="59" borderId="0" xfId="0" applyFont="1" applyFill="1" applyAlignment="1">
      <alignment horizontal="justify" vertical="center" wrapText="1"/>
    </xf>
    <xf numFmtId="0" fontId="9" fillId="0" borderId="67" xfId="0" applyFont="1" applyBorder="1" applyAlignment="1">
      <alignment horizontal="center" vertical="center" wrapText="1"/>
    </xf>
    <xf numFmtId="2" fontId="9" fillId="0" borderId="22" xfId="0" applyNumberFormat="1" applyFont="1" applyBorder="1" applyAlignment="1">
      <alignment horizontal="center" vertical="center" wrapText="1"/>
    </xf>
    <xf numFmtId="0" fontId="16" fillId="53" borderId="33" xfId="0" applyFont="1" applyFill="1" applyBorder="1" applyAlignment="1">
      <alignment horizontal="center"/>
    </xf>
    <xf numFmtId="0" fontId="16" fillId="53" borderId="6" xfId="0" applyFont="1" applyFill="1" applyBorder="1" applyAlignment="1">
      <alignment horizontal="center"/>
    </xf>
    <xf numFmtId="0" fontId="16" fillId="53" borderId="26" xfId="0" applyFont="1" applyFill="1" applyBorder="1" applyAlignment="1">
      <alignment horizontal="center"/>
    </xf>
    <xf numFmtId="0" fontId="16" fillId="53" borderId="30" xfId="0" applyFont="1" applyFill="1" applyBorder="1" applyAlignment="1">
      <alignment horizontal="center"/>
    </xf>
    <xf numFmtId="0" fontId="16" fillId="53" borderId="24" xfId="0" applyFont="1" applyFill="1" applyBorder="1" applyAlignment="1">
      <alignment horizontal="center"/>
    </xf>
    <xf numFmtId="0" fontId="16" fillId="53" borderId="25" xfId="0" applyFont="1" applyFill="1" applyBorder="1" applyAlignment="1">
      <alignment horizontal="center"/>
    </xf>
    <xf numFmtId="168" fontId="14" fillId="53" borderId="0" xfId="1433" applyNumberFormat="1" applyFont="1" applyFill="1" applyAlignment="1">
      <alignment horizontal="right"/>
    </xf>
    <xf numFmtId="0" fontId="9" fillId="53" borderId="122" xfId="1433" applyFont="1" applyFill="1" applyBorder="1" applyAlignment="1">
      <alignment horizontal="center" vertical="center" wrapText="1"/>
    </xf>
    <xf numFmtId="0" fontId="5" fillId="53" borderId="123" xfId="1433" applyFont="1" applyFill="1" applyBorder="1" applyAlignment="1">
      <alignment vertical="center"/>
    </xf>
    <xf numFmtId="0" fontId="49" fillId="53" borderId="0" xfId="1433" applyFont="1" applyFill="1" applyBorder="1" applyAlignment="1">
      <alignment horizontal="center"/>
    </xf>
    <xf numFmtId="0" fontId="9" fillId="53" borderId="67" xfId="1433" applyFont="1" applyFill="1" applyBorder="1" applyAlignment="1">
      <alignment horizontal="center" vertical="top" wrapText="1"/>
    </xf>
    <xf numFmtId="0" fontId="9" fillId="53" borderId="78" xfId="1433" applyFont="1" applyFill="1" applyBorder="1" applyAlignment="1">
      <alignment horizontal="center" vertical="top" wrapText="1"/>
    </xf>
    <xf numFmtId="0" fontId="9" fillId="53" borderId="124" xfId="1433" applyFont="1" applyFill="1" applyBorder="1" applyAlignment="1">
      <alignment horizontal="center" vertical="center" wrapText="1"/>
    </xf>
    <xf numFmtId="0" fontId="5" fillId="53" borderId="125" xfId="1433" applyFont="1" applyFill="1" applyBorder="1" applyAlignment="1">
      <alignment vertical="center"/>
    </xf>
    <xf numFmtId="0" fontId="316" fillId="53" borderId="0" xfId="1435" applyFont="1" applyFill="1" applyAlignment="1">
      <alignment horizontal="left"/>
    </xf>
    <xf numFmtId="0" fontId="127" fillId="53" borderId="0" xfId="1435" applyFont="1" applyFill="1" applyAlignment="1">
      <alignment horizontal="left"/>
    </xf>
    <xf numFmtId="0" fontId="315" fillId="53" borderId="0" xfId="1435" applyFont="1" applyFill="1" applyAlignment="1">
      <alignment horizontal="center"/>
    </xf>
    <xf numFmtId="0" fontId="108" fillId="53" borderId="0" xfId="1435" applyFont="1" applyFill="1" applyAlignment="1">
      <alignment horizontal="center"/>
    </xf>
    <xf numFmtId="0" fontId="126" fillId="53" borderId="0" xfId="1435" applyFont="1" applyFill="1" applyAlignment="1">
      <alignment horizontal="center"/>
    </xf>
    <xf numFmtId="0" fontId="108" fillId="53" borderId="0" xfId="1435" applyFont="1" applyFill="1" applyAlignment="1">
      <alignment horizontal="left"/>
    </xf>
    <xf numFmtId="0" fontId="108" fillId="53" borderId="0" xfId="1435" applyFont="1" applyFill="1" applyAlignment="1">
      <alignment horizontal="left" wrapText="1"/>
    </xf>
    <xf numFmtId="0" fontId="130" fillId="53" borderId="56" xfId="1435" applyFont="1" applyFill="1" applyBorder="1" applyAlignment="1">
      <alignment horizontal="center" vertical="center" wrapText="1"/>
    </xf>
    <xf numFmtId="0" fontId="130" fillId="53" borderId="57" xfId="1435" applyFont="1" applyFill="1" applyBorder="1" applyAlignment="1">
      <alignment horizontal="center" vertical="center" wrapText="1"/>
    </xf>
    <xf numFmtId="0" fontId="130" fillId="53" borderId="58" xfId="1435" applyFont="1" applyFill="1" applyBorder="1" applyAlignment="1">
      <alignment horizontal="center" vertical="center" wrapText="1"/>
    </xf>
    <xf numFmtId="0" fontId="127" fillId="53" borderId="129" xfId="1435" applyFont="1" applyFill="1" applyBorder="1" applyAlignment="1">
      <alignment horizontal="left" vertical="center" wrapText="1"/>
    </xf>
    <xf numFmtId="0" fontId="127" fillId="53" borderId="69" xfId="1435" applyFont="1" applyFill="1" applyBorder="1" applyAlignment="1">
      <alignment horizontal="left" vertical="center" wrapText="1"/>
    </xf>
    <xf numFmtId="0" fontId="127" fillId="53" borderId="130" xfId="1435" applyFont="1" applyFill="1" applyBorder="1" applyAlignment="1">
      <alignment horizontal="left" vertical="center" wrapText="1"/>
    </xf>
    <xf numFmtId="0" fontId="130" fillId="53" borderId="56" xfId="1435" applyFont="1" applyFill="1" applyBorder="1" applyAlignment="1">
      <alignment horizontal="left" vertical="center" wrapText="1"/>
    </xf>
    <xf numFmtId="0" fontId="130" fillId="53" borderId="57" xfId="1435" applyFont="1" applyFill="1" applyBorder="1" applyAlignment="1">
      <alignment horizontal="left" vertical="center" wrapText="1"/>
    </xf>
    <xf numFmtId="0" fontId="130" fillId="53" borderId="58" xfId="1435" applyFont="1" applyFill="1" applyBorder="1" applyAlignment="1">
      <alignment horizontal="left" vertical="center" wrapText="1"/>
    </xf>
    <xf numFmtId="0" fontId="126" fillId="53" borderId="32" xfId="1435" applyFont="1" applyFill="1" applyBorder="1" applyAlignment="1">
      <alignment horizontal="left" vertical="center" wrapText="1"/>
    </xf>
    <xf numFmtId="0" fontId="126" fillId="53" borderId="17" xfId="1435" applyFont="1" applyFill="1" applyBorder="1" applyAlignment="1">
      <alignment horizontal="left" vertical="center" wrapText="1"/>
    </xf>
    <xf numFmtId="0" fontId="126" fillId="53" borderId="34" xfId="1435" applyFont="1" applyFill="1" applyBorder="1" applyAlignment="1">
      <alignment horizontal="left" vertical="center" wrapText="1"/>
    </xf>
    <xf numFmtId="0" fontId="130" fillId="53" borderId="131" xfId="1435" applyFont="1" applyFill="1" applyBorder="1" applyAlignment="1">
      <alignment horizontal="left" vertical="center" wrapText="1"/>
    </xf>
    <xf numFmtId="0" fontId="130" fillId="53" borderId="6" xfId="1435" applyFont="1" applyFill="1" applyBorder="1" applyAlignment="1">
      <alignment horizontal="left" vertical="center" wrapText="1"/>
    </xf>
    <xf numFmtId="0" fontId="130" fillId="53" borderId="132" xfId="1435" applyFont="1" applyFill="1" applyBorder="1" applyAlignment="1">
      <alignment horizontal="left" vertical="center" wrapText="1"/>
    </xf>
    <xf numFmtId="16" fontId="314" fillId="53" borderId="32" xfId="1435" applyNumberFormat="1" applyFont="1" applyFill="1" applyBorder="1" applyAlignment="1">
      <alignment horizontal="left" vertical="center" wrapText="1"/>
    </xf>
    <xf numFmtId="0" fontId="314" fillId="53" borderId="17" xfId="1435" applyFont="1" applyFill="1" applyBorder="1" applyAlignment="1">
      <alignment horizontal="left" vertical="center" wrapText="1"/>
    </xf>
    <xf numFmtId="0" fontId="314" fillId="53" borderId="34" xfId="1435" applyFont="1" applyFill="1" applyBorder="1" applyAlignment="1">
      <alignment horizontal="left" vertical="center" wrapText="1"/>
    </xf>
    <xf numFmtId="0" fontId="130" fillId="53" borderId="0" xfId="1435" applyFont="1" applyFill="1" applyBorder="1" applyAlignment="1">
      <alignment horizontal="left" vertical="center" wrapText="1"/>
    </xf>
    <xf numFmtId="0" fontId="5" fillId="53" borderId="0" xfId="1435" applyFont="1" applyFill="1" applyAlignment="1">
      <alignment horizontal="right"/>
    </xf>
    <xf numFmtId="0" fontId="127" fillId="53" borderId="0" xfId="1435" applyFont="1" applyFill="1" applyAlignment="1">
      <alignment horizontal="center" wrapText="1"/>
    </xf>
    <xf numFmtId="0" fontId="128" fillId="53" borderId="0" xfId="1435" applyFont="1" applyFill="1" applyAlignment="1">
      <alignment horizontal="center" wrapText="1"/>
    </xf>
    <xf numFmtId="0" fontId="126" fillId="53" borderId="0" xfId="1435" applyFont="1" applyFill="1" applyAlignment="1">
      <alignment horizontal="center" wrapText="1"/>
    </xf>
    <xf numFmtId="0" fontId="130" fillId="53" borderId="21" xfId="1435" applyFont="1" applyFill="1" applyBorder="1" applyAlignment="1">
      <alignment horizontal="center" vertical="center" wrapText="1"/>
    </xf>
    <xf numFmtId="0" fontId="130" fillId="53" borderId="52" xfId="1435" applyFont="1" applyFill="1" applyBorder="1" applyAlignment="1">
      <alignment horizontal="center" vertical="center" wrapText="1"/>
    </xf>
    <xf numFmtId="0" fontId="130" fillId="53" borderId="46" xfId="1435" applyFont="1" applyFill="1" applyBorder="1" applyAlignment="1">
      <alignment horizontal="center" vertical="center" wrapText="1"/>
    </xf>
    <xf numFmtId="0" fontId="130" fillId="53" borderId="23" xfId="1435" applyFont="1" applyFill="1" applyBorder="1" applyAlignment="1">
      <alignment horizontal="center" vertical="center" wrapText="1"/>
    </xf>
    <xf numFmtId="0" fontId="130" fillId="53" borderId="90" xfId="1435" applyFont="1" applyFill="1" applyBorder="1" applyAlignment="1">
      <alignment horizontal="center" vertical="center"/>
    </xf>
    <xf numFmtId="0" fontId="130" fillId="53" borderId="127" xfId="1435" applyFont="1" applyFill="1" applyBorder="1" applyAlignment="1">
      <alignment horizontal="center" vertical="center"/>
    </xf>
    <xf numFmtId="0" fontId="130" fillId="53" borderId="128" xfId="1435" applyFont="1" applyFill="1" applyBorder="1" applyAlignment="1">
      <alignment horizontal="center" vertical="center"/>
    </xf>
    <xf numFmtId="0" fontId="316" fillId="0" borderId="0" xfId="1435" applyFont="1" applyAlignment="1">
      <alignment horizontal="left"/>
    </xf>
    <xf numFmtId="0" fontId="127" fillId="0" borderId="0" xfId="1435" applyFont="1" applyAlignment="1">
      <alignment horizontal="left"/>
    </xf>
    <xf numFmtId="0" fontId="315" fillId="0" borderId="0" xfId="1435" applyFont="1" applyAlignment="1">
      <alignment horizontal="center"/>
    </xf>
    <xf numFmtId="0" fontId="108" fillId="0" borderId="0" xfId="1435" applyFont="1" applyAlignment="1">
      <alignment horizontal="center"/>
    </xf>
    <xf numFmtId="0" fontId="126" fillId="0" borderId="0" xfId="1435" applyFont="1" applyAlignment="1">
      <alignment horizontal="center"/>
    </xf>
    <xf numFmtId="0" fontId="108" fillId="0" borderId="0" xfId="1435" applyFont="1" applyAlignment="1">
      <alignment horizontal="left" wrapText="1"/>
    </xf>
    <xf numFmtId="0" fontId="130" fillId="0" borderId="56" xfId="1435" applyFont="1" applyBorder="1" applyAlignment="1">
      <alignment horizontal="center" vertical="center" wrapText="1"/>
    </xf>
    <xf numFmtId="0" fontId="130" fillId="0" borderId="57" xfId="1435" applyFont="1" applyBorder="1" applyAlignment="1">
      <alignment horizontal="center" vertical="center" wrapText="1"/>
    </xf>
    <xf numFmtId="0" fontId="130" fillId="0" borderId="58" xfId="1435" applyFont="1" applyBorder="1" applyAlignment="1">
      <alignment horizontal="center" vertical="center" wrapText="1"/>
    </xf>
    <xf numFmtId="0" fontId="127" fillId="0" borderId="129" xfId="1435" applyFont="1" applyBorder="1" applyAlignment="1">
      <alignment horizontal="left" vertical="center" wrapText="1"/>
    </xf>
    <xf numFmtId="0" fontId="127" fillId="0" borderId="69" xfId="1435" applyFont="1" applyBorder="1" applyAlignment="1">
      <alignment horizontal="left" vertical="center" wrapText="1"/>
    </xf>
    <xf numFmtId="0" fontId="127" fillId="0" borderId="130" xfId="1435" applyFont="1" applyBorder="1" applyAlignment="1">
      <alignment horizontal="left" vertical="center" wrapText="1"/>
    </xf>
    <xf numFmtId="0" fontId="130" fillId="0" borderId="56" xfId="1435" applyFont="1" applyBorder="1" applyAlignment="1">
      <alignment horizontal="left" vertical="center" wrapText="1"/>
    </xf>
    <xf numFmtId="0" fontId="130" fillId="0" borderId="57" xfId="1435" applyFont="1" applyBorder="1" applyAlignment="1">
      <alignment horizontal="left" vertical="center" wrapText="1"/>
    </xf>
    <xf numFmtId="0" fontId="130" fillId="0" borderId="58" xfId="1435" applyFont="1" applyBorder="1" applyAlignment="1">
      <alignment horizontal="left" vertical="center" wrapText="1"/>
    </xf>
    <xf numFmtId="0" fontId="130" fillId="46" borderId="56" xfId="1435" applyFont="1" applyFill="1" applyBorder="1" applyAlignment="1">
      <alignment horizontal="center" vertical="center" wrapText="1"/>
    </xf>
    <xf numFmtId="0" fontId="130" fillId="46" borderId="57" xfId="1435" applyFont="1" applyFill="1" applyBorder="1" applyAlignment="1">
      <alignment horizontal="center" vertical="center" wrapText="1"/>
    </xf>
    <xf numFmtId="0" fontId="130" fillId="46" borderId="58" xfId="1435" applyFont="1" applyFill="1" applyBorder="1" applyAlignment="1">
      <alignment horizontal="center" vertical="center" wrapText="1"/>
    </xf>
    <xf numFmtId="0" fontId="5" fillId="0" borderId="0" xfId="1435" applyAlignment="1">
      <alignment horizontal="right"/>
    </xf>
    <xf numFmtId="0" fontId="127" fillId="0" borderId="0" xfId="1435" applyFont="1" applyAlignment="1">
      <alignment horizontal="center" wrapText="1"/>
    </xf>
    <xf numFmtId="0" fontId="128" fillId="0" borderId="0" xfId="1435" applyFont="1" applyAlignment="1">
      <alignment horizontal="center" wrapText="1"/>
    </xf>
    <xf numFmtId="0" fontId="126" fillId="0" borderId="0" xfId="1435" applyFont="1" applyAlignment="1">
      <alignment horizontal="center" wrapText="1"/>
    </xf>
    <xf numFmtId="0" fontId="130" fillId="0" borderId="21" xfId="1435" applyFont="1" applyBorder="1" applyAlignment="1">
      <alignment horizontal="center" vertical="center" wrapText="1"/>
    </xf>
    <xf numFmtId="0" fontId="130" fillId="0" borderId="52" xfId="1435" applyFont="1" applyBorder="1" applyAlignment="1">
      <alignment horizontal="center" vertical="center" wrapText="1"/>
    </xf>
    <xf numFmtId="0" fontId="130" fillId="0" borderId="46" xfId="1435" applyFont="1" applyBorder="1" applyAlignment="1">
      <alignment horizontal="center" vertical="center" wrapText="1"/>
    </xf>
    <xf numFmtId="0" fontId="130" fillId="0" borderId="23" xfId="1435" applyFont="1" applyBorder="1" applyAlignment="1">
      <alignment horizontal="center" vertical="center" wrapText="1"/>
    </xf>
    <xf numFmtId="0" fontId="130" fillId="0" borderId="90" xfId="1435" applyFont="1" applyBorder="1" applyAlignment="1">
      <alignment horizontal="center" vertical="center"/>
    </xf>
    <xf numFmtId="0" fontId="130" fillId="0" borderId="127" xfId="1435" applyFont="1" applyBorder="1" applyAlignment="1">
      <alignment horizontal="center" vertical="center"/>
    </xf>
    <xf numFmtId="0" fontId="130" fillId="0" borderId="128" xfId="1435" applyFont="1" applyBorder="1" applyAlignment="1">
      <alignment horizontal="center" vertical="center"/>
    </xf>
    <xf numFmtId="0" fontId="11" fillId="46" borderId="23" xfId="1208" applyFont="1" applyFill="1" applyBorder="1" applyAlignment="1">
      <alignment horizontal="center" vertical="center" wrapText="1"/>
    </xf>
    <xf numFmtId="0" fontId="11" fillId="46" borderId="22" xfId="1208" applyFont="1" applyFill="1" applyBorder="1" applyAlignment="1">
      <alignment horizontal="center" vertical="center" wrapText="1"/>
    </xf>
    <xf numFmtId="49" fontId="9" fillId="46" borderId="23" xfId="1208" applyNumberFormat="1" applyFont="1" applyFill="1" applyBorder="1" applyAlignment="1">
      <alignment horizontal="center" vertical="center" wrapText="1"/>
    </xf>
    <xf numFmtId="49" fontId="9" fillId="46" borderId="22" xfId="1208" applyNumberFormat="1" applyFont="1" applyFill="1" applyBorder="1" applyAlignment="1">
      <alignment horizontal="center" vertical="center" wrapText="1"/>
    </xf>
    <xf numFmtId="0" fontId="9" fillId="46" borderId="23" xfId="1208" applyFont="1" applyFill="1" applyBorder="1" applyAlignment="1">
      <alignment horizontal="center" vertical="center" wrapText="1"/>
    </xf>
    <xf numFmtId="0" fontId="9" fillId="46" borderId="22" xfId="1208" applyFont="1" applyFill="1" applyBorder="1" applyAlignment="1">
      <alignment horizontal="center" vertical="center" wrapText="1"/>
    </xf>
    <xf numFmtId="4" fontId="51" fillId="46" borderId="23" xfId="1208" applyNumberFormat="1" applyFont="1" applyFill="1" applyBorder="1" applyAlignment="1">
      <alignment vertical="center" wrapText="1"/>
    </xf>
    <xf numFmtId="4" fontId="51" fillId="46" borderId="22" xfId="1208" applyNumberFormat="1" applyFont="1" applyFill="1" applyBorder="1" applyAlignment="1">
      <alignment vertical="center" wrapText="1"/>
    </xf>
    <xf numFmtId="0" fontId="11" fillId="46" borderId="20" xfId="1208" applyFont="1" applyFill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46" borderId="20" xfId="1208" applyFont="1" applyFill="1" applyBorder="1" applyAlignment="1">
      <alignment horizontal="center" vertical="center" wrapText="1"/>
    </xf>
    <xf numFmtId="4" fontId="51" fillId="46" borderId="20" xfId="1208" applyNumberFormat="1" applyFont="1" applyFill="1" applyBorder="1" applyAlignment="1">
      <alignment vertical="center" wrapText="1"/>
    </xf>
    <xf numFmtId="0" fontId="51" fillId="46" borderId="23" xfId="1208" applyFont="1" applyFill="1" applyBorder="1" applyAlignment="1">
      <alignment horizontal="center" vertical="center" wrapText="1"/>
    </xf>
    <xf numFmtId="0" fontId="51" fillId="46" borderId="20" xfId="1208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185" fillId="46" borderId="23" xfId="1208" applyFont="1" applyFill="1" applyBorder="1" applyAlignment="1">
      <alignment horizontal="center" vertical="center" wrapText="1"/>
    </xf>
    <xf numFmtId="0" fontId="185" fillId="46" borderId="20" xfId="1208" applyFont="1" applyFill="1" applyBorder="1" applyAlignment="1">
      <alignment horizontal="center" vertical="center" wrapText="1"/>
    </xf>
    <xf numFmtId="0" fontId="185" fillId="46" borderId="22" xfId="1208" applyFont="1" applyFill="1" applyBorder="1" applyAlignment="1">
      <alignment horizontal="center" vertical="center" wrapText="1"/>
    </xf>
    <xf numFmtId="0" fontId="0" fillId="0" borderId="17" xfId="0" applyBorder="1" applyAlignment="1">
      <alignment horizontal="right"/>
    </xf>
    <xf numFmtId="0" fontId="11" fillId="46" borderId="23" xfId="1208" applyFont="1" applyFill="1" applyBorder="1" applyAlignment="1">
      <alignment vertical="center" wrapText="1"/>
    </xf>
    <xf numFmtId="0" fontId="11" fillId="46" borderId="22" xfId="1208" applyFont="1" applyFill="1" applyBorder="1" applyAlignment="1">
      <alignment vertical="center" wrapText="1"/>
    </xf>
    <xf numFmtId="0" fontId="33" fillId="46" borderId="23" xfId="1208" applyFont="1" applyFill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282" fillId="60" borderId="23" xfId="1208" applyFont="1" applyFill="1" applyBorder="1" applyAlignment="1">
      <alignment horizontal="center" vertical="center" wrapText="1"/>
    </xf>
    <xf numFmtId="0" fontId="282" fillId="60" borderId="20" xfId="1208" applyFont="1" applyFill="1" applyBorder="1" applyAlignment="1">
      <alignment horizontal="center" vertical="center" wrapText="1"/>
    </xf>
    <xf numFmtId="0" fontId="282" fillId="60" borderId="22" xfId="1208" applyFont="1" applyFill="1" applyBorder="1" applyAlignment="1">
      <alignment horizontal="center" vertical="center" wrapText="1"/>
    </xf>
    <xf numFmtId="0" fontId="51" fillId="46" borderId="23" xfId="1208" applyFont="1" applyFill="1" applyBorder="1" applyAlignment="1">
      <alignment horizontal="right" vertical="center" wrapText="1"/>
    </xf>
    <xf numFmtId="0" fontId="51" fillId="46" borderId="20" xfId="1208" applyFont="1" applyFill="1" applyBorder="1" applyAlignment="1">
      <alignment horizontal="right" vertical="center" wrapText="1"/>
    </xf>
    <xf numFmtId="0" fontId="51" fillId="46" borderId="22" xfId="1208" applyFont="1" applyFill="1" applyBorder="1" applyAlignment="1">
      <alignment horizontal="right" vertical="center" wrapText="1"/>
    </xf>
    <xf numFmtId="0" fontId="51" fillId="46" borderId="23" xfId="0" applyFont="1" applyFill="1" applyBorder="1" applyAlignment="1">
      <alignment horizontal="center" vertical="center" wrapText="1"/>
    </xf>
    <xf numFmtId="0" fontId="51" fillId="46" borderId="20" xfId="0" applyFont="1" applyFill="1" applyBorder="1" applyAlignment="1">
      <alignment horizontal="center" vertical="center" wrapText="1"/>
    </xf>
    <xf numFmtId="0" fontId="51" fillId="46" borderId="22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right" vertical="center" wrapText="1"/>
    </xf>
    <xf numFmtId="0" fontId="0" fillId="0" borderId="22" xfId="0" applyBorder="1" applyAlignment="1">
      <alignment horizontal="right"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0" xfId="0"/>
    <xf numFmtId="0" fontId="9" fillId="0" borderId="23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33" fillId="53" borderId="23" xfId="0" applyFont="1" applyFill="1" applyBorder="1" applyAlignment="1">
      <alignment horizontal="center" vertical="center" wrapText="1"/>
    </xf>
    <xf numFmtId="0" fontId="0" fillId="53" borderId="22" xfId="0" applyFont="1" applyFill="1" applyBorder="1" applyAlignment="1">
      <alignment horizontal="center" vertical="center" wrapText="1"/>
    </xf>
    <xf numFmtId="0" fontId="33" fillId="53" borderId="23" xfId="1208" applyFont="1" applyFill="1" applyBorder="1" applyAlignment="1">
      <alignment vertical="center" wrapText="1"/>
    </xf>
    <xf numFmtId="0" fontId="0" fillId="53" borderId="22" xfId="0" applyFont="1" applyFill="1" applyBorder="1" applyAlignment="1">
      <alignment vertical="center" wrapText="1"/>
    </xf>
    <xf numFmtId="0" fontId="33" fillId="53" borderId="23" xfId="1208" applyFont="1" applyFill="1" applyBorder="1" applyAlignment="1">
      <alignment horizontal="center" wrapText="1"/>
    </xf>
    <xf numFmtId="0" fontId="0" fillId="53" borderId="22" xfId="0" applyFont="1" applyFill="1" applyBorder="1" applyAlignment="1">
      <alignment horizontal="center" wrapText="1"/>
    </xf>
    <xf numFmtId="0" fontId="159" fillId="53" borderId="23" xfId="0" applyFont="1" applyFill="1" applyBorder="1" applyAlignment="1">
      <alignment horizontal="right"/>
    </xf>
    <xf numFmtId="0" fontId="159" fillId="53" borderId="22" xfId="0" applyFont="1" applyFill="1" applyBorder="1" applyAlignment="1">
      <alignment horizontal="right"/>
    </xf>
    <xf numFmtId="0" fontId="33" fillId="56" borderId="23" xfId="1208" applyFont="1" applyFill="1" applyBorder="1" applyAlignment="1">
      <alignment horizontal="center" vertical="center" wrapText="1"/>
    </xf>
    <xf numFmtId="0" fontId="0" fillId="56" borderId="20" xfId="0" applyFill="1" applyBorder="1" applyAlignment="1">
      <alignment horizontal="center" vertical="center" wrapText="1"/>
    </xf>
    <xf numFmtId="0" fontId="159" fillId="0" borderId="23" xfId="0" applyFont="1" applyBorder="1" applyAlignment="1">
      <alignment horizontal="right"/>
    </xf>
    <xf numFmtId="0" fontId="159" fillId="0" borderId="22" xfId="0" applyFont="1" applyBorder="1" applyAlignment="1">
      <alignment horizontal="right"/>
    </xf>
    <xf numFmtId="0" fontId="33" fillId="60" borderId="23" xfId="1208" applyFont="1" applyFill="1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33" fillId="60" borderId="23" xfId="1208" applyFont="1" applyFill="1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33" fillId="60" borderId="23" xfId="0" applyFont="1" applyFill="1" applyBorder="1" applyAlignment="1">
      <alignment horizontal="center" vertical="center" wrapText="1"/>
    </xf>
    <xf numFmtId="0" fontId="11" fillId="46" borderId="17" xfId="0" applyFont="1" applyFill="1" applyBorder="1" applyAlignment="1">
      <alignment horizontal="center" vertical="center" wrapText="1"/>
    </xf>
    <xf numFmtId="0" fontId="11" fillId="46" borderId="17" xfId="0" applyFont="1" applyFill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170" fontId="11" fillId="53" borderId="17" xfId="0" applyNumberFormat="1" applyFont="1" applyFill="1" applyBorder="1" applyAlignment="1">
      <alignment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7" xfId="0" applyFont="1" applyBorder="1" applyAlignment="1">
      <alignment vertical="center" wrapText="1"/>
    </xf>
    <xf numFmtId="0" fontId="11" fillId="0" borderId="17" xfId="0" applyFont="1" applyBorder="1" applyAlignment="1">
      <alignment horizontal="center" vertical="center"/>
    </xf>
    <xf numFmtId="170" fontId="11" fillId="53" borderId="17" xfId="0" applyNumberFormat="1" applyFont="1" applyFill="1" applyBorder="1" applyAlignment="1">
      <alignment vertical="center"/>
    </xf>
    <xf numFmtId="0" fontId="11" fillId="53" borderId="17" xfId="0" applyFont="1" applyFill="1" applyBorder="1" applyAlignment="1">
      <alignment horizontal="center" vertical="center"/>
    </xf>
    <xf numFmtId="0" fontId="11" fillId="53" borderId="17" xfId="0" applyFont="1" applyFill="1" applyBorder="1" applyAlignment="1">
      <alignment horizontal="center" vertical="center" wrapText="1"/>
    </xf>
    <xf numFmtId="170" fontId="11" fillId="53" borderId="17" xfId="0" applyNumberFormat="1" applyFont="1" applyFill="1" applyBorder="1" applyAlignment="1">
      <alignment horizontal="center" vertical="center"/>
    </xf>
    <xf numFmtId="170" fontId="11" fillId="53" borderId="17" xfId="0" applyNumberFormat="1" applyFont="1" applyFill="1" applyBorder="1"/>
    <xf numFmtId="0" fontId="11" fillId="0" borderId="17" xfId="0" applyFont="1" applyBorder="1" applyAlignment="1">
      <alignment vertical="center"/>
    </xf>
    <xf numFmtId="0" fontId="51" fillId="53" borderId="17" xfId="1209" applyFont="1" applyFill="1" applyBorder="1" applyAlignment="1">
      <alignment horizontal="left" vertical="center" wrapText="1"/>
    </xf>
    <xf numFmtId="0" fontId="0" fillId="53" borderId="17" xfId="0" applyFont="1" applyFill="1" applyBorder="1" applyAlignment="1">
      <alignment horizontal="left" vertical="center" wrapText="1"/>
    </xf>
    <xf numFmtId="0" fontId="11" fillId="53" borderId="17" xfId="0" applyFont="1" applyFill="1" applyBorder="1" applyAlignment="1">
      <alignment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46" borderId="23" xfId="1207" applyFont="1" applyFill="1" applyBorder="1" applyAlignment="1">
      <alignment horizontal="center" vertical="center" wrapText="1"/>
    </xf>
    <xf numFmtId="0" fontId="11" fillId="46" borderId="22" xfId="1207" applyFont="1" applyFill="1" applyBorder="1" applyAlignment="1">
      <alignment horizontal="center" vertical="center" wrapText="1"/>
    </xf>
    <xf numFmtId="0" fontId="60" fillId="53" borderId="23" xfId="1176" applyFont="1" applyFill="1" applyBorder="1" applyAlignment="1">
      <alignment horizontal="center" vertical="top" wrapText="1"/>
    </xf>
    <xf numFmtId="0" fontId="0" fillId="53" borderId="22" xfId="0" applyFill="1" applyBorder="1" applyAlignment="1">
      <alignment vertical="top" wrapText="1"/>
    </xf>
    <xf numFmtId="0" fontId="60" fillId="0" borderId="23" xfId="1176" applyFont="1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64" fillId="0" borderId="33" xfId="1176" applyFont="1" applyBorder="1" applyAlignment="1">
      <alignment horizontal="center" vertical="top" wrapText="1"/>
    </xf>
    <xf numFmtId="0" fontId="66" fillId="0" borderId="6" xfId="0" applyFont="1" applyBorder="1" applyAlignment="1"/>
    <xf numFmtId="0" fontId="66" fillId="0" borderId="26" xfId="0" applyFont="1" applyBorder="1" applyAlignment="1"/>
    <xf numFmtId="0" fontId="0" fillId="0" borderId="20" xfId="0" applyBorder="1" applyAlignment="1">
      <alignment wrapText="1"/>
    </xf>
    <xf numFmtId="0" fontId="0" fillId="0" borderId="22" xfId="0" applyBorder="1" applyAlignment="1">
      <alignment wrapText="1"/>
    </xf>
    <xf numFmtId="0" fontId="60" fillId="0" borderId="20" xfId="1176" applyFont="1" applyBorder="1" applyAlignment="1">
      <alignment horizontal="center" vertical="top" wrapText="1"/>
    </xf>
    <xf numFmtId="0" fontId="60" fillId="0" borderId="23" xfId="1176" applyFont="1" applyBorder="1" applyAlignment="1">
      <alignment horizontal="center" vertical="center" textRotation="90" wrapText="1"/>
    </xf>
    <xf numFmtId="0" fontId="60" fillId="0" borderId="20" xfId="1176" applyFont="1" applyBorder="1" applyAlignment="1">
      <alignment horizontal="center" vertical="center" textRotation="90" wrapText="1"/>
    </xf>
    <xf numFmtId="0" fontId="60" fillId="0" borderId="22" xfId="1176" applyFont="1" applyBorder="1" applyAlignment="1">
      <alignment horizontal="center" vertical="center" textRotation="90" wrapText="1"/>
    </xf>
    <xf numFmtId="0" fontId="10" fillId="0" borderId="0" xfId="0" quotePrefix="1" applyFont="1" applyAlignment="1">
      <alignment horizontal="left" vertical="center" wrapText="1"/>
    </xf>
    <xf numFmtId="0" fontId="10" fillId="0" borderId="0" xfId="0" applyFont="1" applyAlignment="1">
      <alignment horizontal="justify" vertical="center" wrapText="1"/>
    </xf>
    <xf numFmtId="0" fontId="11" fillId="0" borderId="23" xfId="0" applyFont="1" applyBorder="1" applyAlignment="1">
      <alignment horizontal="center" vertical="top"/>
    </xf>
    <xf numFmtId="0" fontId="11" fillId="0" borderId="20" xfId="0" applyFont="1" applyBorder="1" applyAlignment="1">
      <alignment horizontal="center" vertical="top"/>
    </xf>
    <xf numFmtId="0" fontId="11" fillId="0" borderId="22" xfId="0" applyFont="1" applyBorder="1" applyAlignment="1">
      <alignment horizontal="center" vertical="top"/>
    </xf>
    <xf numFmtId="0" fontId="11" fillId="0" borderId="23" xfId="0" applyFont="1" applyBorder="1" applyAlignment="1">
      <alignment horizontal="center" vertical="top" wrapText="1"/>
    </xf>
    <xf numFmtId="0" fontId="11" fillId="0" borderId="20" xfId="0" applyFont="1" applyBorder="1" applyAlignment="1">
      <alignment horizontal="center" vertical="top" wrapText="1"/>
    </xf>
    <xf numFmtId="0" fontId="11" fillId="0" borderId="22" xfId="0" applyFont="1" applyBorder="1" applyAlignment="1">
      <alignment horizontal="center" vertical="top" wrapText="1"/>
    </xf>
    <xf numFmtId="0" fontId="139" fillId="53" borderId="0" xfId="1183" applyFont="1" applyFill="1" applyBorder="1" applyAlignment="1">
      <alignment horizontal="center"/>
    </xf>
    <xf numFmtId="0" fontId="278" fillId="53" borderId="0" xfId="1183" applyFont="1" applyFill="1" applyBorder="1" applyAlignment="1">
      <alignment horizontal="left"/>
    </xf>
    <xf numFmtId="0" fontId="139" fillId="66" borderId="0" xfId="1183" applyFont="1" applyFill="1" applyBorder="1" applyAlignment="1">
      <alignment horizontal="left" vertical="center" wrapText="1"/>
    </xf>
    <xf numFmtId="0" fontId="18" fillId="53" borderId="0" xfId="1183" applyFont="1" applyFill="1" applyBorder="1" applyAlignment="1">
      <alignment horizontal="left"/>
    </xf>
    <xf numFmtId="0" fontId="18" fillId="60" borderId="0" xfId="1183" applyFont="1" applyFill="1" applyBorder="1" applyAlignment="1">
      <alignment horizontal="left" wrapText="1"/>
    </xf>
    <xf numFmtId="0" fontId="278" fillId="53" borderId="0" xfId="1183" applyFont="1" applyFill="1" applyBorder="1" applyAlignment="1">
      <alignment horizontal="center"/>
    </xf>
    <xf numFmtId="0" fontId="130" fillId="53" borderId="121" xfId="1183" applyFont="1" applyFill="1" applyBorder="1" applyAlignment="1">
      <alignment horizontal="left"/>
    </xf>
    <xf numFmtId="0" fontId="277" fillId="53" borderId="107" xfId="1183" applyFont="1" applyFill="1" applyBorder="1" applyAlignment="1">
      <alignment horizontal="left" vertical="center" wrapText="1"/>
    </xf>
    <xf numFmtId="0" fontId="277" fillId="53" borderId="106" xfId="1183" applyFont="1" applyFill="1" applyBorder="1" applyAlignment="1">
      <alignment horizontal="left" vertical="center" wrapText="1"/>
    </xf>
    <xf numFmtId="0" fontId="276" fillId="53" borderId="106" xfId="1183" applyFont="1" applyFill="1" applyBorder="1" applyAlignment="1">
      <alignment horizontal="left" vertical="center" wrapText="1"/>
    </xf>
    <xf numFmtId="0" fontId="139" fillId="53" borderId="106" xfId="1183" applyFont="1" applyFill="1" applyBorder="1" applyAlignment="1">
      <alignment horizontal="left" vertical="center" wrapText="1"/>
    </xf>
    <xf numFmtId="0" fontId="139" fillId="55" borderId="106" xfId="1183" applyFont="1" applyFill="1" applyBorder="1" applyAlignment="1">
      <alignment horizontal="center" vertical="center" wrapText="1"/>
    </xf>
    <xf numFmtId="0" fontId="139" fillId="53" borderId="106" xfId="1183" applyFont="1" applyFill="1" applyBorder="1" applyAlignment="1">
      <alignment horizontal="center" vertical="center" wrapText="1"/>
    </xf>
    <xf numFmtId="0" fontId="139" fillId="53" borderId="107" xfId="1183" applyFont="1" applyFill="1" applyBorder="1" applyAlignment="1">
      <alignment horizontal="left" vertical="center" wrapText="1"/>
    </xf>
    <xf numFmtId="0" fontId="139" fillId="53" borderId="105" xfId="1183" applyFont="1" applyFill="1" applyBorder="1" applyAlignment="1">
      <alignment horizontal="left" vertical="center" wrapText="1"/>
    </xf>
    <xf numFmtId="0" fontId="139" fillId="53" borderId="89" xfId="1183" applyFont="1" applyFill="1" applyBorder="1" applyAlignment="1">
      <alignment horizontal="left" vertical="center" wrapText="1"/>
    </xf>
    <xf numFmtId="0" fontId="139" fillId="53" borderId="110" xfId="1183" applyFont="1" applyFill="1" applyBorder="1" applyAlignment="1">
      <alignment horizontal="left" vertical="center" wrapText="1"/>
    </xf>
    <xf numFmtId="0" fontId="139" fillId="53" borderId="111" xfId="1183" applyFont="1" applyFill="1" applyBorder="1" applyAlignment="1">
      <alignment horizontal="left" vertical="center" wrapText="1"/>
    </xf>
    <xf numFmtId="0" fontId="139" fillId="53" borderId="108" xfId="1183" applyFont="1" applyFill="1" applyBorder="1" applyAlignment="1">
      <alignment horizontal="left" vertical="center" wrapText="1"/>
    </xf>
    <xf numFmtId="0" fontId="139" fillId="53" borderId="109" xfId="1183" applyFont="1" applyFill="1" applyBorder="1" applyAlignment="1">
      <alignment horizontal="left" vertical="center" wrapText="1"/>
    </xf>
    <xf numFmtId="0" fontId="139" fillId="53" borderId="112" xfId="1183" applyFont="1" applyFill="1" applyBorder="1" applyAlignment="1">
      <alignment horizontal="left" vertical="center" wrapText="1"/>
    </xf>
    <xf numFmtId="0" fontId="139" fillId="53" borderId="113" xfId="1183" applyFont="1" applyFill="1" applyBorder="1" applyAlignment="1">
      <alignment horizontal="left" vertical="center" wrapText="1"/>
    </xf>
    <xf numFmtId="0" fontId="139" fillId="53" borderId="114" xfId="1183" applyFont="1" applyFill="1" applyBorder="1" applyAlignment="1">
      <alignment horizontal="left" vertical="center" wrapText="1"/>
    </xf>
    <xf numFmtId="0" fontId="276" fillId="53" borderId="107" xfId="1183" applyFont="1" applyFill="1" applyBorder="1" applyAlignment="1">
      <alignment horizontal="left" vertical="center" wrapText="1"/>
    </xf>
    <xf numFmtId="0" fontId="276" fillId="53" borderId="116" xfId="1183" applyFont="1" applyFill="1" applyBorder="1" applyAlignment="1">
      <alignment horizontal="left" vertical="center" wrapText="1"/>
    </xf>
    <xf numFmtId="0" fontId="276" fillId="53" borderId="117" xfId="1183" applyFont="1" applyFill="1" applyBorder="1" applyAlignment="1">
      <alignment horizontal="left" vertical="center" wrapText="1"/>
    </xf>
    <xf numFmtId="0" fontId="276" fillId="53" borderId="118" xfId="1183" applyFont="1" applyFill="1" applyBorder="1" applyAlignment="1">
      <alignment horizontal="left" vertical="center" wrapText="1"/>
    </xf>
    <xf numFmtId="0" fontId="138" fillId="53" borderId="0" xfId="1183" applyFont="1" applyFill="1" applyBorder="1" applyAlignment="1">
      <alignment horizontal="center" wrapText="1"/>
    </xf>
    <xf numFmtId="0" fontId="274" fillId="53" borderId="0" xfId="1183" applyFont="1" applyFill="1" applyBorder="1" applyAlignment="1">
      <alignment horizontal="center" wrapText="1"/>
    </xf>
    <xf numFmtId="0" fontId="275" fillId="53" borderId="0" xfId="1183" applyFont="1" applyFill="1" applyBorder="1" applyAlignment="1">
      <alignment horizontal="center" wrapText="1"/>
    </xf>
    <xf numFmtId="0" fontId="139" fillId="53" borderId="105" xfId="1183" applyFont="1" applyFill="1" applyBorder="1" applyAlignment="1">
      <alignment horizontal="center" vertical="center" wrapText="1"/>
    </xf>
    <xf numFmtId="0" fontId="139" fillId="53" borderId="89" xfId="1183" applyFont="1" applyFill="1" applyBorder="1" applyAlignment="1">
      <alignment horizontal="center" vertical="center" wrapText="1"/>
    </xf>
    <xf numFmtId="0" fontId="139" fillId="53" borderId="86" xfId="1183" applyFont="1" applyFill="1" applyBorder="1" applyAlignment="1">
      <alignment horizontal="center" vertical="center"/>
    </xf>
    <xf numFmtId="0" fontId="139" fillId="55" borderId="0" xfId="1183" applyFont="1" applyFill="1" applyBorder="1" applyAlignment="1">
      <alignment horizontal="left" vertical="center" wrapText="1"/>
    </xf>
    <xf numFmtId="0" fontId="18" fillId="53" borderId="0" xfId="1183" applyFont="1" applyFill="1" applyBorder="1" applyAlignment="1">
      <alignment horizontal="left" wrapText="1"/>
    </xf>
    <xf numFmtId="0" fontId="141" fillId="53" borderId="0" xfId="1183" applyFont="1" applyFill="1" applyBorder="1" applyAlignment="1">
      <alignment horizontal="center"/>
    </xf>
    <xf numFmtId="0" fontId="18" fillId="53" borderId="0" xfId="1183" applyFont="1" applyFill="1" applyBorder="1" applyAlignment="1">
      <alignment horizontal="center"/>
    </xf>
    <xf numFmtId="0" fontId="297" fillId="55" borderId="0" xfId="1183" applyFont="1" applyFill="1" applyBorder="1" applyAlignment="1">
      <alignment horizontal="left" vertical="center" wrapText="1"/>
    </xf>
    <xf numFmtId="0" fontId="46" fillId="0" borderId="0" xfId="0" applyFont="1" applyBorder="1" applyAlignment="1">
      <alignment horizontal="center" wrapText="1"/>
    </xf>
    <xf numFmtId="0" fontId="4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46" fillId="0" borderId="0" xfId="0" applyFont="1" applyAlignment="1">
      <alignment horizontal="center" wrapText="1"/>
    </xf>
    <xf numFmtId="0" fontId="171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17" xfId="0" applyBorder="1" applyAlignment="1">
      <alignment horizontal="center" vertical="top" wrapText="1"/>
    </xf>
    <xf numFmtId="0" fontId="0" fillId="0" borderId="17" xfId="0" applyBorder="1"/>
    <xf numFmtId="0" fontId="270" fillId="0" borderId="0" xfId="0" applyFont="1" applyAlignment="1">
      <alignment horizontal="center" vertical="top" wrapText="1"/>
    </xf>
    <xf numFmtId="0" fontId="9" fillId="0" borderId="23" xfId="1205" applyFont="1" applyBorder="1" applyAlignment="1">
      <alignment horizontal="center" vertical="top" wrapText="1"/>
    </xf>
    <xf numFmtId="0" fontId="273" fillId="0" borderId="20" xfId="1205" applyBorder="1" applyAlignment="1">
      <alignment horizontal="center" vertical="top" wrapText="1"/>
    </xf>
    <xf numFmtId="0" fontId="273" fillId="0" borderId="22" xfId="1205" applyBorder="1" applyAlignment="1">
      <alignment horizontal="center" vertical="top" wrapText="1"/>
    </xf>
    <xf numFmtId="0" fontId="9" fillId="57" borderId="23" xfId="1205" applyFont="1" applyFill="1" applyBorder="1" applyAlignment="1">
      <alignment horizontal="center" vertical="top" wrapText="1"/>
    </xf>
    <xf numFmtId="0" fontId="273" fillId="57" borderId="20" xfId="1205" applyFill="1" applyBorder="1" applyAlignment="1">
      <alignment horizontal="center" vertical="top" wrapText="1"/>
    </xf>
    <xf numFmtId="0" fontId="273" fillId="57" borderId="22" xfId="1205" applyFill="1" applyBorder="1" applyAlignment="1">
      <alignment horizontal="center" vertical="top" wrapText="1"/>
    </xf>
    <xf numFmtId="0" fontId="9" fillId="48" borderId="23" xfId="1205" applyFont="1" applyFill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49" fillId="0" borderId="16" xfId="0" applyFont="1" applyBorder="1" applyAlignment="1">
      <alignment horizontal="center" vertical="center"/>
    </xf>
    <xf numFmtId="0" fontId="49" fillId="0" borderId="31" xfId="0" applyFont="1" applyBorder="1" applyAlignment="1">
      <alignment horizontal="center" vertical="center"/>
    </xf>
    <xf numFmtId="0" fontId="49" fillId="46" borderId="70" xfId="0" applyFont="1" applyFill="1" applyBorder="1" applyAlignment="1">
      <alignment vertical="center" wrapText="1"/>
    </xf>
    <xf numFmtId="0" fontId="49" fillId="46" borderId="57" xfId="0" applyFont="1" applyFill="1" applyBorder="1" applyAlignment="1">
      <alignment vertical="center" wrapText="1"/>
    </xf>
    <xf numFmtId="0" fontId="0" fillId="46" borderId="57" xfId="0" applyFill="1" applyBorder="1" applyAlignment="1">
      <alignment vertical="center" wrapText="1"/>
    </xf>
    <xf numFmtId="0" fontId="0" fillId="46" borderId="30" xfId="0" applyFill="1" applyBorder="1" applyAlignment="1">
      <alignment vertical="center" wrapText="1"/>
    </xf>
    <xf numFmtId="0" fontId="0" fillId="46" borderId="24" xfId="0" applyFill="1" applyBorder="1" applyAlignment="1">
      <alignment vertical="center" wrapText="1"/>
    </xf>
    <xf numFmtId="0" fontId="49" fillId="0" borderId="53" xfId="0" applyFont="1" applyBorder="1" applyAlignment="1">
      <alignment horizontal="center" vertical="center"/>
    </xf>
    <xf numFmtId="0" fontId="49" fillId="46" borderId="104" xfId="0" applyFont="1" applyFill="1" applyBorder="1" applyAlignment="1">
      <alignment vertical="center" wrapText="1"/>
    </xf>
    <xf numFmtId="0" fontId="0" fillId="46" borderId="22" xfId="0" applyFill="1" applyBorder="1" applyAlignment="1">
      <alignment wrapText="1"/>
    </xf>
    <xf numFmtId="0" fontId="9" fillId="0" borderId="20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wrapText="1"/>
    </xf>
    <xf numFmtId="0" fontId="9" fillId="0" borderId="22" xfId="0" applyFont="1" applyBorder="1" applyAlignment="1">
      <alignment horizontal="center" wrapText="1"/>
    </xf>
    <xf numFmtId="0" fontId="11" fillId="0" borderId="23" xfId="0" applyFont="1" applyBorder="1" applyAlignment="1">
      <alignment horizontal="center" wrapText="1"/>
    </xf>
    <xf numFmtId="0" fontId="11" fillId="0" borderId="22" xfId="0" applyFont="1" applyBorder="1" applyAlignment="1">
      <alignment horizontal="center" wrapText="1"/>
    </xf>
    <xf numFmtId="0" fontId="11" fillId="0" borderId="17" xfId="0" applyFont="1" applyBorder="1" applyAlignment="1">
      <alignment horizontal="center" vertical="top" wrapText="1"/>
    </xf>
    <xf numFmtId="0" fontId="11" fillId="0" borderId="16" xfId="0" applyFont="1" applyBorder="1" applyAlignment="1"/>
    <xf numFmtId="0" fontId="11" fillId="0" borderId="53" xfId="0" applyFont="1" applyBorder="1" applyAlignment="1"/>
    <xf numFmtId="0" fontId="11" fillId="0" borderId="31" xfId="0" applyFont="1" applyBorder="1" applyAlignment="1"/>
    <xf numFmtId="0" fontId="11" fillId="0" borderId="104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0" fillId="0" borderId="57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4" xfId="0" applyBorder="1" applyAlignment="1">
      <alignment vertical="center"/>
    </xf>
    <xf numFmtId="170" fontId="242" fillId="33" borderId="17" xfId="0" applyNumberFormat="1" applyFont="1" applyFill="1" applyBorder="1" applyAlignment="1">
      <alignment horizontal="center" wrapText="1"/>
    </xf>
    <xf numFmtId="0" fontId="190" fillId="33" borderId="17" xfId="0" applyFont="1" applyFill="1" applyBorder="1" applyAlignment="1">
      <alignment horizontal="center" wrapText="1"/>
    </xf>
    <xf numFmtId="0" fontId="190" fillId="33" borderId="17" xfId="0" applyFont="1" applyFill="1" applyBorder="1" applyAlignment="1">
      <alignment wrapText="1"/>
    </xf>
    <xf numFmtId="194" fontId="9" fillId="46" borderId="23" xfId="1215" applyNumberFormat="1" applyFont="1" applyFill="1" applyBorder="1" applyAlignment="1">
      <alignment horizontal="right" vertical="center"/>
    </xf>
    <xf numFmtId="194" fontId="9" fillId="46" borderId="22" xfId="1215" applyNumberFormat="1" applyFont="1" applyFill="1" applyBorder="1" applyAlignment="1">
      <alignment horizontal="right" vertical="center"/>
    </xf>
    <xf numFmtId="10" fontId="9" fillId="44" borderId="43" xfId="0" applyNumberFormat="1" applyFont="1" applyFill="1" applyBorder="1" applyAlignment="1">
      <alignment vertical="center"/>
    </xf>
    <xf numFmtId="170" fontId="10" fillId="33" borderId="17" xfId="0" applyNumberFormat="1" applyFont="1" applyFill="1" applyBorder="1" applyAlignment="1">
      <alignment horizontal="center" wrapText="1"/>
    </xf>
    <xf numFmtId="0" fontId="0" fillId="33" borderId="17" xfId="0" applyFill="1" applyBorder="1" applyAlignment="1">
      <alignment horizontal="center" wrapText="1"/>
    </xf>
    <xf numFmtId="0" fontId="0" fillId="33" borderId="17" xfId="0" applyFill="1" applyBorder="1" applyAlignment="1">
      <alignment wrapText="1"/>
    </xf>
    <xf numFmtId="0" fontId="273" fillId="48" borderId="20" xfId="1205" applyFill="1" applyBorder="1" applyAlignment="1">
      <alignment horizontal="center" vertical="top" wrapText="1"/>
    </xf>
    <xf numFmtId="0" fontId="273" fillId="48" borderId="22" xfId="1205" applyFill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center"/>
    </xf>
    <xf numFmtId="0" fontId="37" fillId="2" borderId="102" xfId="1194" applyFont="1" applyFill="1" applyBorder="1" applyAlignment="1" applyProtection="1">
      <alignment horizontal="left" vertical="center" indent="2"/>
    </xf>
    <xf numFmtId="0" fontId="37" fillId="2" borderId="91" xfId="1194" applyFont="1" applyFill="1" applyBorder="1" applyAlignment="1" applyProtection="1">
      <alignment horizontal="left" vertical="center" indent="2"/>
    </xf>
    <xf numFmtId="0" fontId="37" fillId="2" borderId="103" xfId="1194" applyFont="1" applyFill="1" applyBorder="1" applyAlignment="1" applyProtection="1">
      <alignment horizontal="left" vertical="center" indent="2"/>
    </xf>
    <xf numFmtId="0" fontId="37" fillId="2" borderId="95" xfId="1194" applyFont="1" applyFill="1" applyBorder="1" applyAlignment="1" applyProtection="1">
      <alignment horizontal="left" vertical="center" indent="2"/>
    </xf>
    <xf numFmtId="0" fontId="9" fillId="0" borderId="23" xfId="1434" applyFont="1" applyBorder="1" applyAlignment="1">
      <alignment horizontal="center" vertical="top" wrapText="1"/>
    </xf>
    <xf numFmtId="0" fontId="2" fillId="0" borderId="20" xfId="1434" applyBorder="1" applyAlignment="1">
      <alignment horizontal="center" vertical="top" wrapText="1"/>
    </xf>
    <xf numFmtId="0" fontId="2" fillId="0" borderId="22" xfId="1434" applyBorder="1" applyAlignment="1">
      <alignment horizontal="center" vertical="top" wrapText="1"/>
    </xf>
    <xf numFmtId="0" fontId="9" fillId="48" borderId="23" xfId="1434" applyFont="1" applyFill="1" applyBorder="1" applyAlignment="1">
      <alignment horizontal="center" vertical="top" wrapText="1"/>
    </xf>
    <xf numFmtId="0" fontId="2" fillId="0" borderId="22" xfId="1434" applyFont="1" applyBorder="1" applyAlignment="1">
      <alignment horizontal="center" vertical="top" wrapText="1"/>
    </xf>
    <xf numFmtId="0" fontId="2" fillId="0" borderId="20" xfId="1434" applyFont="1" applyBorder="1" applyAlignment="1">
      <alignment horizontal="center" vertical="top" wrapText="1"/>
    </xf>
    <xf numFmtId="168" fontId="16" fillId="56" borderId="17" xfId="0" applyNumberFormat="1" applyFont="1" applyFill="1" applyBorder="1" applyAlignment="1"/>
  </cellXfs>
  <cellStyles count="1716">
    <cellStyle name=" 1" xfId="6"/>
    <cellStyle name="%" xfId="7"/>
    <cellStyle name="%_Inputs" xfId="8"/>
    <cellStyle name="%_Inputs (const)" xfId="9"/>
    <cellStyle name="%_Inputs Co" xfId="10"/>
    <cellStyle name="???????????" xfId="11"/>
    <cellStyle name="??????????? 2" xfId="1436"/>
    <cellStyle name="????????????? ???????????" xfId="12"/>
    <cellStyle name="????????????? ??????????? 2" xfId="1437"/>
    <cellStyle name="???????_??.??????" xfId="13"/>
    <cellStyle name="??????_? ??????" xfId="14"/>
    <cellStyle name="_2006 March BKMPO for uploading (Feb March results)" xfId="1438"/>
    <cellStyle name="_2006 March BKMPO for uploading (Feb March results) final" xfId="1439"/>
    <cellStyle name="_23.01.03_КрАЗ_изм НЗП_ноя0211мес.02" xfId="15"/>
    <cellStyle name="_23.01.03_КрАЗ_изм НЗП_ноя0211мес.02_баланс Самараэнерго, П1.30 в электронном виде" xfId="1440"/>
    <cellStyle name="_23.01.03_КрАЗ_изм НЗП_ноя0211мес.02_П 1.30 2011 НМП ГЭС" xfId="1441"/>
    <cellStyle name="_36Бюджет2007(рабочий  вариант)-янв." xfId="16"/>
    <cellStyle name="_Alcoa Rus conversion YTD Feb 2007 (mapping)  var2" xfId="1442"/>
    <cellStyle name="_Alcoa Rus conversion YTD Jan 2007 (mapping)  var1" xfId="1443"/>
    <cellStyle name="_Approved RFAs - no 2007 spending" xfId="17"/>
    <cellStyle name="_BK US GAAP 11m 06-02" xfId="1444"/>
    <cellStyle name="_BK US GAAP 11m 25-01" xfId="1445"/>
    <cellStyle name="_BKMPO conversion December 2006" xfId="1446"/>
    <cellStyle name="_BKMPO Year-end 2006 (RAP YTD11.06)revized" xfId="1447"/>
    <cellStyle name="_BKMPO YTD April 2006 conversion_for upload" xfId="1448"/>
    <cellStyle name="_BKMPO YTD august 2006 conversion" xfId="1449"/>
    <cellStyle name="_BKMPO YTD July 2006 conversion to check" xfId="1450"/>
    <cellStyle name="_BKMPO YTD June 2006 conversion" xfId="1451"/>
    <cellStyle name="_BKMPO YTD March 2006 for presentation" xfId="1452"/>
    <cellStyle name="_BKMPO YTD september 2006 conversion(upload27102006)" xfId="1453"/>
    <cellStyle name="_Book1 (4)" xfId="1454"/>
    <cellStyle name="_Book2" xfId="1455"/>
    <cellStyle name="_Book3" xfId="1456"/>
    <cellStyle name="_BU P&amp;L 2007 April SMZ 18.05.2007" xfId="1457"/>
    <cellStyle name="_BU_final fixed assets adjustment summary (depr adj)" xfId="1458"/>
    <cellStyle name="_CAPEX Oct 2006" xfId="1459"/>
    <cellStyle name="_Conversion file BKMPO YTD March 2006 (29.04.06)" xfId="1460"/>
    <cellStyle name="_Copy of ALCOA RUS December 06 by BU 310107 (uploaded 010207)" xfId="1461"/>
    <cellStyle name="_Copy of PL BKMPO June actual without DTA" xfId="1462"/>
    <cellStyle name="_Copy of SMZ conversion August 2006 uploaded 02.10.2006" xfId="1463"/>
    <cellStyle name="_Copy of ДРСК_1" xfId="1428"/>
    <cellStyle name="_CWIP 01.06.2007 by BUs v1" xfId="1464"/>
    <cellStyle name="_Estimation file September (021007)" xfId="1465"/>
    <cellStyle name="_FA and CWIP adjustments YTD April SMZ (23.05.2007 v. 1.1)" xfId="1466"/>
    <cellStyle name="_FFF" xfId="18"/>
    <cellStyle name="_FFF_New Form10_2" xfId="19"/>
    <cellStyle name="_FFF_New Form10_2_баланс Самараэнерго, П1.30 в электронном виде" xfId="1467"/>
    <cellStyle name="_FFF_New Form10_2_П 1.30 2011 НМП ГЭС" xfId="1468"/>
    <cellStyle name="_FFF_Nsi" xfId="20"/>
    <cellStyle name="_FFF_Nsi_1" xfId="21"/>
    <cellStyle name="_FFF_Nsi_1_баланс Самараэнерго, П1.30 в электронном виде" xfId="1469"/>
    <cellStyle name="_FFF_Nsi_1_П 1.30 2011 НМП ГЭС" xfId="1470"/>
    <cellStyle name="_FFF_Nsi_139" xfId="22"/>
    <cellStyle name="_FFF_Nsi_139_баланс Самараэнерго, П1.30 в электронном виде" xfId="1471"/>
    <cellStyle name="_FFF_Nsi_139_П 1.30 2011 НМП ГЭС" xfId="1472"/>
    <cellStyle name="_FFF_Nsi_140" xfId="23"/>
    <cellStyle name="_FFF_Nsi_140(Зах)" xfId="24"/>
    <cellStyle name="_FFF_Nsi_140(Зах)_баланс Самараэнерго, П1.30 в электронном виде" xfId="1473"/>
    <cellStyle name="_FFF_Nsi_140(Зах)_П 1.30 2011 НМП ГЭС" xfId="1474"/>
    <cellStyle name="_FFF_Nsi_140_mod" xfId="25"/>
    <cellStyle name="_FFF_Nsi_140_mod_баланс Самараэнерго, П1.30 в электронном виде" xfId="1475"/>
    <cellStyle name="_FFF_Nsi_140_mod_П 1.30 2011 НМП ГЭС" xfId="1476"/>
    <cellStyle name="_FFF_Nsi_140_баланс Самараэнерго, П1.30 в электронном виде" xfId="1477"/>
    <cellStyle name="_FFF_Nsi_140_П 1.30 2011 НМП ГЭС" xfId="1478"/>
    <cellStyle name="_FFF_Nsi_баланс Самараэнерго, П1.30 в электронном виде" xfId="1479"/>
    <cellStyle name="_FFF_Nsi_П 1.30 2011 НМП ГЭС" xfId="1480"/>
    <cellStyle name="_FFF_Summary" xfId="26"/>
    <cellStyle name="_FFF_Summary_баланс Самараэнерго, П1.30 в электронном виде" xfId="1481"/>
    <cellStyle name="_FFF_Summary_П 1.30 2011 НМП ГЭС" xfId="1482"/>
    <cellStyle name="_FFF_Tax_form_1кв_3" xfId="27"/>
    <cellStyle name="_FFF_Tax_form_1кв_3_баланс Самараэнерго, П1.30 в электронном виде" xfId="1483"/>
    <cellStyle name="_FFF_Tax_form_1кв_3_П 1.30 2011 НМП ГЭС" xfId="1484"/>
    <cellStyle name="_FFF_баланс Самараэнерго, П1.30 в электронном виде" xfId="1485"/>
    <cellStyle name="_FFF_БКЭ" xfId="28"/>
    <cellStyle name="_FFF_БКЭ_баланс Самараэнерго, П1.30 в электронном виде" xfId="1486"/>
    <cellStyle name="_FFF_БКЭ_П 1.30 2011 НМП ГЭС" xfId="1487"/>
    <cellStyle name="_FFF_П 1.30 2011 НМП ГЭС" xfId="1488"/>
    <cellStyle name="_Final_Book_010301" xfId="29"/>
    <cellStyle name="_Final_Book_010301_New Form10_2" xfId="30"/>
    <cellStyle name="_Final_Book_010301_New Form10_2_баланс Самараэнерго, П1.30 в электронном виде" xfId="1489"/>
    <cellStyle name="_Final_Book_010301_New Form10_2_П 1.30 2011 НМП ГЭС" xfId="1490"/>
    <cellStyle name="_Final_Book_010301_Nsi" xfId="31"/>
    <cellStyle name="_Final_Book_010301_Nsi_1" xfId="32"/>
    <cellStyle name="_Final_Book_010301_Nsi_1_баланс Самараэнерго, П1.30 в электронном виде" xfId="1491"/>
    <cellStyle name="_Final_Book_010301_Nsi_1_П 1.30 2011 НМП ГЭС" xfId="1492"/>
    <cellStyle name="_Final_Book_010301_Nsi_139" xfId="33"/>
    <cellStyle name="_Final_Book_010301_Nsi_139_баланс Самараэнерго, П1.30 в электронном виде" xfId="1493"/>
    <cellStyle name="_Final_Book_010301_Nsi_139_П 1.30 2011 НМП ГЭС" xfId="1494"/>
    <cellStyle name="_Final_Book_010301_Nsi_140" xfId="34"/>
    <cellStyle name="_Final_Book_010301_Nsi_140(Зах)" xfId="35"/>
    <cellStyle name="_Final_Book_010301_Nsi_140(Зах)_баланс Самараэнерго, П1.30 в электронном виде" xfId="1495"/>
    <cellStyle name="_Final_Book_010301_Nsi_140(Зах)_П 1.30 2011 НМП ГЭС" xfId="1496"/>
    <cellStyle name="_Final_Book_010301_Nsi_140_mod" xfId="36"/>
    <cellStyle name="_Final_Book_010301_Nsi_140_mod_баланс Самараэнерго, П1.30 в электронном виде" xfId="1497"/>
    <cellStyle name="_Final_Book_010301_Nsi_140_mod_П 1.30 2011 НМП ГЭС" xfId="1498"/>
    <cellStyle name="_Final_Book_010301_Nsi_140_баланс Самараэнерго, П1.30 в электронном виде" xfId="1499"/>
    <cellStyle name="_Final_Book_010301_Nsi_140_П 1.30 2011 НМП ГЭС" xfId="1500"/>
    <cellStyle name="_Final_Book_010301_Nsi_баланс Самараэнерго, П1.30 в электронном виде" xfId="1501"/>
    <cellStyle name="_Final_Book_010301_Nsi_П 1.30 2011 НМП ГЭС" xfId="1502"/>
    <cellStyle name="_Final_Book_010301_Summary" xfId="37"/>
    <cellStyle name="_Final_Book_010301_Summary_баланс Самараэнерго, П1.30 в электронном виде" xfId="1503"/>
    <cellStyle name="_Final_Book_010301_Summary_П 1.30 2011 НМП ГЭС" xfId="1504"/>
    <cellStyle name="_Final_Book_010301_Tax_form_1кв_3" xfId="38"/>
    <cellStyle name="_Final_Book_010301_Tax_form_1кв_3_баланс Самараэнерго, П1.30 в электронном виде" xfId="1505"/>
    <cellStyle name="_Final_Book_010301_Tax_form_1кв_3_П 1.30 2011 НМП ГЭС" xfId="1506"/>
    <cellStyle name="_Final_Book_010301_баланс Самараэнерго, П1.30 в электронном виде" xfId="1507"/>
    <cellStyle name="_Final_Book_010301_БКЭ" xfId="39"/>
    <cellStyle name="_Final_Book_010301_БКЭ_баланс Самараэнерго, П1.30 в электронном виде" xfId="1508"/>
    <cellStyle name="_Final_Book_010301_БКЭ_П 1.30 2011 НМП ГЭС" xfId="1509"/>
    <cellStyle name="_Final_Book_010301_П 1.30 2011 НМП ГЭС" xfId="1510"/>
    <cellStyle name="_fr_Russia june 2007 25 06 2007" xfId="1511"/>
    <cellStyle name="_GAAP - Фин расшифровки (5) май  2005 СМЗ" xfId="1512"/>
    <cellStyle name="_Intercompany charges booked in RAP" xfId="1513"/>
    <cellStyle name="_Intercompany charges booked in RAP 2" xfId="1514"/>
    <cellStyle name="_Knoxwil" xfId="1515"/>
    <cellStyle name="_Mapping YTD December SMZ" xfId="1516"/>
    <cellStyle name="_Misc vs Operational income  expenses YTD Sep 2006" xfId="1517"/>
    <cellStyle name="_Model_RAB Мой" xfId="40"/>
    <cellStyle name="_Model_RAB Мой_BALANCE.WARM.2011YEAR.NEW.UPDATE.SCHEME" xfId="41"/>
    <cellStyle name="_Model_RAB Мой_UPDATE.BALANCE.WARM.2011YEAR.TO.1.1" xfId="42"/>
    <cellStyle name="_Model_RAB_MRSK_svod" xfId="43"/>
    <cellStyle name="_Model_RAB_MRSK_svod_BALANCE.WARM.2011YEAR.NEW.UPDATE.SCHEME" xfId="44"/>
    <cellStyle name="_Model_RAB_MRSK_svod_UPDATE.BALANCE.WARM.2011YEAR.TO.1.1" xfId="45"/>
    <cellStyle name="_New_Sofi" xfId="46"/>
    <cellStyle name="_New_Sofi_FFF" xfId="47"/>
    <cellStyle name="_New_Sofi_FFF_баланс Самараэнерго, П1.30 в электронном виде" xfId="1518"/>
    <cellStyle name="_New_Sofi_FFF_П 1.30 2011 НМП ГЭС" xfId="1519"/>
    <cellStyle name="_New_Sofi_New Form10_2" xfId="48"/>
    <cellStyle name="_New_Sofi_New Form10_2_баланс Самараэнерго, П1.30 в электронном виде" xfId="1520"/>
    <cellStyle name="_New_Sofi_New Form10_2_П 1.30 2011 НМП ГЭС" xfId="1521"/>
    <cellStyle name="_New_Sofi_Nsi" xfId="49"/>
    <cellStyle name="_New_Sofi_Nsi_1" xfId="50"/>
    <cellStyle name="_New_Sofi_Nsi_1_баланс Самараэнерго, П1.30 в электронном виде" xfId="1522"/>
    <cellStyle name="_New_Sofi_Nsi_1_П 1.30 2011 НМП ГЭС" xfId="1523"/>
    <cellStyle name="_New_Sofi_Nsi_139" xfId="51"/>
    <cellStyle name="_New_Sofi_Nsi_139_баланс Самараэнерго, П1.30 в электронном виде" xfId="1524"/>
    <cellStyle name="_New_Sofi_Nsi_139_П 1.30 2011 НМП ГЭС" xfId="1525"/>
    <cellStyle name="_New_Sofi_Nsi_140" xfId="52"/>
    <cellStyle name="_New_Sofi_Nsi_140(Зах)" xfId="53"/>
    <cellStyle name="_New_Sofi_Nsi_140(Зах)_баланс Самараэнерго, П1.30 в электронном виде" xfId="1526"/>
    <cellStyle name="_New_Sofi_Nsi_140(Зах)_П 1.30 2011 НМП ГЭС" xfId="1527"/>
    <cellStyle name="_New_Sofi_Nsi_140_mod" xfId="54"/>
    <cellStyle name="_New_Sofi_Nsi_140_mod_баланс Самараэнерго, П1.30 в электронном виде" xfId="1528"/>
    <cellStyle name="_New_Sofi_Nsi_140_mod_П 1.30 2011 НМП ГЭС" xfId="1529"/>
    <cellStyle name="_New_Sofi_Nsi_140_баланс Самараэнерго, П1.30 в электронном виде" xfId="1530"/>
    <cellStyle name="_New_Sofi_Nsi_140_П 1.30 2011 НМП ГЭС" xfId="1531"/>
    <cellStyle name="_New_Sofi_Nsi_баланс Самараэнерго, П1.30 в электронном виде" xfId="1532"/>
    <cellStyle name="_New_Sofi_Nsi_П 1.30 2011 НМП ГЭС" xfId="1533"/>
    <cellStyle name="_New_Sofi_Summary" xfId="55"/>
    <cellStyle name="_New_Sofi_Summary_баланс Самараэнерго, П1.30 в электронном виде" xfId="1534"/>
    <cellStyle name="_New_Sofi_Summary_П 1.30 2011 НМП ГЭС" xfId="1535"/>
    <cellStyle name="_New_Sofi_Tax_form_1кв_3" xfId="56"/>
    <cellStyle name="_New_Sofi_Tax_form_1кв_3_баланс Самараэнерго, П1.30 в электронном виде" xfId="1536"/>
    <cellStyle name="_New_Sofi_Tax_form_1кв_3_П 1.30 2011 НМП ГЭС" xfId="1537"/>
    <cellStyle name="_New_Sofi_баланс Самараэнерго, П1.30 в электронном виде" xfId="1538"/>
    <cellStyle name="_New_Sofi_БКЭ" xfId="57"/>
    <cellStyle name="_New_Sofi_БКЭ_баланс Самараэнерго, П1.30 в электронном виде" xfId="1539"/>
    <cellStyle name="_New_Sofi_БКЭ_П 1.30 2011 НМП ГЭС" xfId="1540"/>
    <cellStyle name="_New_Sofi_П 1.30 2011 НМП ГЭС" xfId="1541"/>
    <cellStyle name="_Nsi" xfId="58"/>
    <cellStyle name="_Nsi_баланс Самараэнерго, П1.30 в электронном виде" xfId="1542"/>
    <cellStyle name="_Nsi_П 1.30 2011 НМП ГЭС" xfId="1543"/>
    <cellStyle name="_P&amp;L JUL actual w-o adjust" xfId="1544"/>
    <cellStyle name="_P&amp;L June Z LBC analysis" xfId="1545"/>
    <cellStyle name="_P&amp;Llast" xfId="1546"/>
    <cellStyle name="_PL BKMPO April actual without DTA" xfId="1547"/>
    <cellStyle name="_PL BKMPO December actual without DTA" xfId="1548"/>
    <cellStyle name="_PL BKMPO February actual without DTA" xfId="1549"/>
    <cellStyle name="_PL BKMPO January actual without DTA" xfId="1550"/>
    <cellStyle name="_PL BKMPO March actual without DTA" xfId="1551"/>
    <cellStyle name="_PL BKMPO May actual without DTA 13 06 06" xfId="1552"/>
    <cellStyle name="_PL BKMPO May actual without DTA 13 06 06_corrected" xfId="1553"/>
    <cellStyle name="_Repair and maintanance expence" xfId="1554"/>
    <cellStyle name="_RFA Spending Jul-07 v1" xfId="59"/>
    <cellStyle name="_RFA Spending Jun-07 v1" xfId="60"/>
    <cellStyle name="_Sheet1" xfId="1555"/>
    <cellStyle name="_Sheet2" xfId="1556"/>
    <cellStyle name="_SMZ conversion April 2007 (23.05.2007)" xfId="1557"/>
    <cellStyle name="_SMZ conversion March 2006 20.04.2006" xfId="1558"/>
    <cellStyle name="_SMZ conversion May 2006 (uploaded) 26.06.2006" xfId="1559"/>
    <cellStyle name="_SMZ conversion YTD Feb 2006 21.03.2006 DK (with feed back) adjusted to 2005" xfId="1560"/>
    <cellStyle name="_Split for GBS IS charges to BK" xfId="1561"/>
    <cellStyle name="_Split for GBS IS charges to BK 2" xfId="1562"/>
    <cellStyle name="_vypl_июнь" xfId="61"/>
    <cellStyle name="_YTD July_Kalitva my" xfId="1563"/>
    <cellStyle name="_БКМПО 23-05_1" xfId="1564"/>
    <cellStyle name="_ВО ОП ТЭС-ОТ- 2007" xfId="62"/>
    <cellStyle name="_ВФ ОАО ТЭС-ОТ- 2009" xfId="63"/>
    <cellStyle name="_Выручка в формате 3 ПУ 01 2007 by BUs (working)" xfId="1565"/>
    <cellStyle name="_Выручка в формате 3 ПУ 02 2007 by BUs (working)" xfId="1566"/>
    <cellStyle name="_выручка по присоединениям2" xfId="64"/>
    <cellStyle name="_Договор аренды ЯЭ с разбивкой" xfId="65"/>
    <cellStyle name="_Дозакл 5 мес.2000" xfId="66"/>
    <cellStyle name="_Дозакл 5 мес.2000_баланс Самараэнерго, П1.30 в электронном виде" xfId="1567"/>
    <cellStyle name="_Дозакл 5 мес.2000_П 1.30 2011 НМП ГЭС" xfId="1568"/>
    <cellStyle name="_Исходные данные для модели" xfId="67"/>
    <cellStyle name="_кальк" xfId="68"/>
    <cellStyle name="_Книга3" xfId="69"/>
    <cellStyle name="_Книга3_New Form10_2" xfId="70"/>
    <cellStyle name="_Книга3_New Form10_2_баланс Самараэнерго, П1.30 в электронном виде" xfId="1569"/>
    <cellStyle name="_Книга3_New Form10_2_П 1.30 2011 НМП ГЭС" xfId="1570"/>
    <cellStyle name="_Книга3_Nsi" xfId="71"/>
    <cellStyle name="_Книга3_Nsi_1" xfId="72"/>
    <cellStyle name="_Книга3_Nsi_1_баланс Самараэнерго, П1.30 в электронном виде" xfId="1571"/>
    <cellStyle name="_Книга3_Nsi_1_П 1.30 2011 НМП ГЭС" xfId="1572"/>
    <cellStyle name="_Книга3_Nsi_139" xfId="73"/>
    <cellStyle name="_Книга3_Nsi_139_баланс Самараэнерго, П1.30 в электронном виде" xfId="1573"/>
    <cellStyle name="_Книга3_Nsi_139_П 1.30 2011 НМП ГЭС" xfId="1574"/>
    <cellStyle name="_Книга3_Nsi_140" xfId="74"/>
    <cellStyle name="_Книга3_Nsi_140(Зах)" xfId="75"/>
    <cellStyle name="_Книга3_Nsi_140(Зах)_баланс Самараэнерго, П1.30 в электронном виде" xfId="1575"/>
    <cellStyle name="_Книга3_Nsi_140(Зах)_П 1.30 2011 НМП ГЭС" xfId="1576"/>
    <cellStyle name="_Книга3_Nsi_140_mod" xfId="76"/>
    <cellStyle name="_Книга3_Nsi_140_mod_баланс Самараэнерго, П1.30 в электронном виде" xfId="1577"/>
    <cellStyle name="_Книга3_Nsi_140_mod_П 1.30 2011 НМП ГЭС" xfId="1578"/>
    <cellStyle name="_Книга3_Nsi_140_баланс Самараэнерго, П1.30 в электронном виде" xfId="1579"/>
    <cellStyle name="_Книга3_Nsi_140_П 1.30 2011 НМП ГЭС" xfId="1580"/>
    <cellStyle name="_Книга3_Nsi_баланс Самараэнерго, П1.30 в электронном виде" xfId="1581"/>
    <cellStyle name="_Книга3_Nsi_П 1.30 2011 НМП ГЭС" xfId="1582"/>
    <cellStyle name="_Книга3_Summary" xfId="77"/>
    <cellStyle name="_Книга3_Summary_баланс Самараэнерго, П1.30 в электронном виде" xfId="1583"/>
    <cellStyle name="_Книга3_Summary_П 1.30 2011 НМП ГЭС" xfId="1584"/>
    <cellStyle name="_Книга3_Tax_form_1кв_3" xfId="78"/>
    <cellStyle name="_Книга3_Tax_form_1кв_3_баланс Самараэнерго, П1.30 в электронном виде" xfId="1585"/>
    <cellStyle name="_Книга3_Tax_form_1кв_3_П 1.30 2011 НМП ГЭС" xfId="1586"/>
    <cellStyle name="_Книга3_баланс Самараэнерго, П1.30 в электронном виде" xfId="1587"/>
    <cellStyle name="_Книга3_БКЭ" xfId="79"/>
    <cellStyle name="_Книга3_БКЭ_баланс Самараэнерго, П1.30 в электронном виде" xfId="1588"/>
    <cellStyle name="_Книга3_БКЭ_П 1.30 2011 НМП ГЭС" xfId="1589"/>
    <cellStyle name="_Книга3_П 1.30 2011 НМП ГЭС" xfId="1590"/>
    <cellStyle name="_Книга5" xfId="80"/>
    <cellStyle name="_Книга7" xfId="81"/>
    <cellStyle name="_Книга7_New Form10_2" xfId="82"/>
    <cellStyle name="_Книга7_New Form10_2_баланс Самараэнерго, П1.30 в электронном виде" xfId="1591"/>
    <cellStyle name="_Книга7_New Form10_2_П 1.30 2011 НМП ГЭС" xfId="1592"/>
    <cellStyle name="_Книга7_Nsi" xfId="83"/>
    <cellStyle name="_Книга7_Nsi_1" xfId="84"/>
    <cellStyle name="_Книга7_Nsi_1_баланс Самараэнерго, П1.30 в электронном виде" xfId="1593"/>
    <cellStyle name="_Книга7_Nsi_1_П 1.30 2011 НМП ГЭС" xfId="1594"/>
    <cellStyle name="_Книга7_Nsi_139" xfId="85"/>
    <cellStyle name="_Книга7_Nsi_139_баланс Самараэнерго, П1.30 в электронном виде" xfId="1595"/>
    <cellStyle name="_Книга7_Nsi_139_П 1.30 2011 НМП ГЭС" xfId="1596"/>
    <cellStyle name="_Книга7_Nsi_140" xfId="86"/>
    <cellStyle name="_Книга7_Nsi_140(Зах)" xfId="87"/>
    <cellStyle name="_Книга7_Nsi_140(Зах)_баланс Самараэнерго, П1.30 в электронном виде" xfId="1597"/>
    <cellStyle name="_Книга7_Nsi_140(Зах)_П 1.30 2011 НМП ГЭС" xfId="1598"/>
    <cellStyle name="_Книга7_Nsi_140_mod" xfId="88"/>
    <cellStyle name="_Книга7_Nsi_140_mod_баланс Самараэнерго, П1.30 в электронном виде" xfId="1599"/>
    <cellStyle name="_Книга7_Nsi_140_mod_П 1.30 2011 НМП ГЭС" xfId="1600"/>
    <cellStyle name="_Книга7_Nsi_140_баланс Самараэнерго, П1.30 в электронном виде" xfId="1601"/>
    <cellStyle name="_Книга7_Nsi_140_П 1.30 2011 НМП ГЭС" xfId="1602"/>
    <cellStyle name="_Книга7_Nsi_баланс Самараэнерго, П1.30 в электронном виде" xfId="1603"/>
    <cellStyle name="_Книга7_Nsi_П 1.30 2011 НМП ГЭС" xfId="1604"/>
    <cellStyle name="_Книга7_Summary" xfId="89"/>
    <cellStyle name="_Книга7_Summary_баланс Самараэнерго, П1.30 в электронном виде" xfId="1605"/>
    <cellStyle name="_Книга7_Summary_П 1.30 2011 НМП ГЭС" xfId="1606"/>
    <cellStyle name="_Книга7_Tax_form_1кв_3" xfId="90"/>
    <cellStyle name="_Книга7_Tax_form_1кв_3_баланс Самараэнерго, П1.30 в электронном виде" xfId="1607"/>
    <cellStyle name="_Книга7_Tax_form_1кв_3_П 1.30 2011 НМП ГЭС" xfId="1608"/>
    <cellStyle name="_Книга7_баланс Самараэнерго, П1.30 в электронном виде" xfId="1609"/>
    <cellStyle name="_Книга7_БКЭ" xfId="91"/>
    <cellStyle name="_Книга7_БКЭ_баланс Самараэнерго, П1.30 в электронном виде" xfId="1610"/>
    <cellStyle name="_Книга7_БКЭ_П 1.30 2011 НМП ГЭС" xfId="1611"/>
    <cellStyle name="_Книга7_П 1.30 2011 НМП ГЭС" xfId="1612"/>
    <cellStyle name="_Копия БКМПО-АР Сверка внутригрупп закупок и реализации за август 2006" xfId="1613"/>
    <cellStyle name="_лимиты, потребности на 2008 по цеху 36" xfId="92"/>
    <cellStyle name="_МОДЕЛЬ_1 (2)" xfId="93"/>
    <cellStyle name="_МОДЕЛЬ_1 (2)_BALANCE.WARM.2011YEAR.NEW.UPDATE.SCHEME" xfId="94"/>
    <cellStyle name="_МОДЕЛЬ_1 (2)_UPDATE.BALANCE.WARM.2011YEAR.TO.1.1" xfId="95"/>
    <cellStyle name="_НВВ 2009 постатейно свод по филиалам_09_02_09" xfId="96"/>
    <cellStyle name="_НВВ 2009 постатейно свод по филиалам_для Валентина" xfId="97"/>
    <cellStyle name="_НЗП на 2003г." xfId="98"/>
    <cellStyle name="_НЗП на 2003г._баланс Самараэнерго, П1.30 в электронном виде" xfId="1614"/>
    <cellStyle name="_НЗП на 2003г._П 1.30 2011 НМП ГЭС" xfId="1615"/>
    <cellStyle name="_ОЗР1" xfId="1616"/>
    <cellStyle name="_Омск" xfId="99"/>
    <cellStyle name="_ОТ ИД 2009" xfId="100"/>
    <cellStyle name="_пр 5 тариф RAB" xfId="101"/>
    <cellStyle name="_пр 5 тариф RAB_BALANCE.WARM.2011YEAR.NEW.UPDATE.SCHEME" xfId="102"/>
    <cellStyle name="_пр 5 тариф RAB_UPDATE.BALANCE.WARM.2011YEAR.TO.1.1" xfId="103"/>
    <cellStyle name="_Предожение _ДБП_2009 г ( согласованные БП)  (2)" xfId="104"/>
    <cellStyle name="_прил12-04" xfId="105"/>
    <cellStyle name="_Приложение МТС-3-КС" xfId="106"/>
    <cellStyle name="_Приложение-МТС--2-1" xfId="107"/>
    <cellStyle name="_Приложения 4 5 13 к договорам на 2009(окон)" xfId="108"/>
    <cellStyle name="_Расчет RAB_22072008" xfId="109"/>
    <cellStyle name="_Расчет RAB_22072008_BALANCE.WARM.2011YEAR.NEW.UPDATE.SCHEME" xfId="110"/>
    <cellStyle name="_Расчет RAB_22072008_UPDATE.BALANCE.WARM.2011YEAR.TO.1.1" xfId="111"/>
    <cellStyle name="_Расчет RAB_Лен и МОЭСК_с 2010 года_14.04.2009_со сглаж_version 3.0_без ФСК" xfId="112"/>
    <cellStyle name="_Расчет RAB_Лен и МОЭСК_с 2010 года_14.04.2009_со сглаж_version 3.0_без ФСК_BALANCE.WARM.2011YEAR.NEW.UPDATE.SCHEME" xfId="113"/>
    <cellStyle name="_Расчет RAB_Лен и МОЭСК_с 2010 года_14.04.2009_со сглаж_version 3.0_без ФСК_UPDATE.BALANCE.WARM.2011YEAR.TO.1.1" xfId="114"/>
    <cellStyle name="_Расшифровка неотфактуровки баланса на 01 01 10" xfId="1617"/>
    <cellStyle name="_Расшифровка неотфактуровки баланса на 01 02 2010 " xfId="1618"/>
    <cellStyle name="_Расшифровки_1кв_2002" xfId="115"/>
    <cellStyle name="_Расшифровки_1кв_2002_баланс Самараэнерго, П1.30 в электронном виде" xfId="1619"/>
    <cellStyle name="_Расшифровки_1кв_2002_П 1.30 2011 НМП ГЭС" xfId="1620"/>
    <cellStyle name="_Свод по ИПР (2)" xfId="116"/>
    <cellStyle name="_СМЗ-АР сверка внутригрупповых закупок и реализации" xfId="1621"/>
    <cellStyle name="_таблицы для расчетов28-04-08_2006-2009_прибыль корр_по ИА" xfId="117"/>
    <cellStyle name="_таблицы для расчетов28-04-08_2006-2009с ИА" xfId="118"/>
    <cellStyle name="_Фин расшифровки (6) июнь 2005  СМЗ" xfId="1622"/>
    <cellStyle name="_форма 1 2 за ноябрь 2006 Полис" xfId="1623"/>
    <cellStyle name="_Форма 29 сч" xfId="1624"/>
    <cellStyle name="_Форма 6  РТК.xls(отчет по Адр пр. ЛО)" xfId="119"/>
    <cellStyle name="_Форма Акта + Ведомость к приложению №8" xfId="120"/>
    <cellStyle name="_Формат разбивки по МРСК_РСК" xfId="121"/>
    <cellStyle name="_Формат_для Согласования" xfId="122"/>
    <cellStyle name="_Формы для заводов" xfId="123"/>
    <cellStyle name="_экон.форм-т ВО 1 с разбивкой" xfId="124"/>
    <cellStyle name="”€ќђќ‘ћ‚›‰" xfId="126"/>
    <cellStyle name="”€ќђќ‘ћ‚›‰ 2" xfId="1625"/>
    <cellStyle name="”€ќђќ‘ћ‚›‰ 3" xfId="1626"/>
    <cellStyle name="”€љ‘€ђћ‚ђќќ›‰" xfId="127"/>
    <cellStyle name="”€љ‘€ђћ‚ђќќ›‰ 2" xfId="1627"/>
    <cellStyle name="”€љ‘€ђћ‚ђќќ›‰ 3" xfId="1628"/>
    <cellStyle name="”ќђќ‘ћ‚›‰" xfId="128"/>
    <cellStyle name="”љ‘ђћ‚ђќќ›‰" xfId="129"/>
    <cellStyle name="„…ќ…†ќ›‰" xfId="130"/>
    <cellStyle name="„…ќ…†ќ›‰ 2" xfId="1629"/>
    <cellStyle name="„…ќ…†ќ›‰ 3" xfId="1630"/>
    <cellStyle name="€’ћѓћ‚›‰" xfId="133"/>
    <cellStyle name="€’ћѓћ‚›‰ 2" xfId="1631"/>
    <cellStyle name="€’ћѓћ‚›‰ 3" xfId="1632"/>
    <cellStyle name="‡ђѓћ‹ћ‚ћљ1" xfId="131"/>
    <cellStyle name="‡ђѓћ‹ћ‚ћљ1 2" xfId="1633"/>
    <cellStyle name="‡ђѓћ‹ћ‚ћљ1 3" xfId="1634"/>
    <cellStyle name="‡ђѓћ‹ћ‚ћљ2" xfId="132"/>
    <cellStyle name="‡ђѓћ‹ћ‚ћљ2 2" xfId="1635"/>
    <cellStyle name="‡ђѓћ‹ћ‚ћљ2 3" xfId="1636"/>
    <cellStyle name="’ћѓћ‚›‰" xfId="125"/>
    <cellStyle name="" xfId="1"/>
    <cellStyle name="" xfId="2"/>
    <cellStyle name=" 2" xfId="1637"/>
    <cellStyle name=" 2" xfId="1638"/>
    <cellStyle name=" 3" xfId="1639"/>
    <cellStyle name=" 3" xfId="1640"/>
    <cellStyle name=" 4" xfId="1641"/>
    <cellStyle name=" 4" xfId="1642"/>
    <cellStyle name=" 5" xfId="1643"/>
    <cellStyle name=" 5" xfId="1644"/>
    <cellStyle name=" 6" xfId="1645"/>
    <cellStyle name=" 6" xfId="1646"/>
    <cellStyle name=" 7" xfId="1647"/>
    <cellStyle name=" 7" xfId="1648"/>
    <cellStyle name="_баланс Самараэнерго, П1.30 в электронном виде" xfId="1649"/>
    <cellStyle name="_баланс Самараэнерго, П1.30 в электронном виде" xfId="1650"/>
    <cellStyle name="_П 1.30 2011 НМП ГЭС" xfId="1651"/>
    <cellStyle name="_П 1.30 2011 НМП ГЭС" xfId="1652"/>
    <cellStyle name="" xfId="3"/>
    <cellStyle name="" xfId="4"/>
    <cellStyle name=" 2" xfId="1653"/>
    <cellStyle name=" 2" xfId="1654"/>
    <cellStyle name=" 3" xfId="1655"/>
    <cellStyle name=" 3" xfId="1656"/>
    <cellStyle name=" 4" xfId="1657"/>
    <cellStyle name=" 4" xfId="1658"/>
    <cellStyle name=" 5" xfId="1659"/>
    <cellStyle name=" 5" xfId="1660"/>
    <cellStyle name=" 6" xfId="1661"/>
    <cellStyle name=" 6" xfId="1662"/>
    <cellStyle name=" 7" xfId="1663"/>
    <cellStyle name=" 7" xfId="1664"/>
    <cellStyle name="_баланс Самараэнерго, П1.30 в электронном виде" xfId="1665"/>
    <cellStyle name="_баланс Самараэнерго, П1.30 в электронном виде" xfId="1666"/>
    <cellStyle name="_П 1.30 2011 НМП ГЭС" xfId="1667"/>
    <cellStyle name="_П 1.30 2011 НМП ГЭС" xfId="1668"/>
    <cellStyle name="" xfId="5"/>
    <cellStyle name=" 2" xfId="1669"/>
    <cellStyle name=" 3" xfId="1670"/>
    <cellStyle name=" 4" xfId="1671"/>
    <cellStyle name=" 5" xfId="1672"/>
    <cellStyle name=" 6" xfId="1673"/>
    <cellStyle name=" 7" xfId="1674"/>
    <cellStyle name="1" xfId="135"/>
    <cellStyle name="1 2" xfId="1675"/>
    <cellStyle name="1 3" xfId="1676"/>
    <cellStyle name="2" xfId="136"/>
    <cellStyle name="2 2" xfId="1677"/>
    <cellStyle name="2 3" xfId="1678"/>
    <cellStyle name="0,00;0;" xfId="134"/>
    <cellStyle name="0,00;0; 2" xfId="1679"/>
    <cellStyle name="20% - Accent1" xfId="137"/>
    <cellStyle name="20% - Accent1 2" xfId="138"/>
    <cellStyle name="20% - Accent1_BALANCE.WARM.2011YEAR.NEW.UPDATE.SCHEME" xfId="139"/>
    <cellStyle name="20% - Accent2" xfId="140"/>
    <cellStyle name="20% - Accent2 2" xfId="141"/>
    <cellStyle name="20% - Accent2_BALANCE.WARM.2011YEAR.NEW.UPDATE.SCHEME" xfId="142"/>
    <cellStyle name="20% - Accent3" xfId="143"/>
    <cellStyle name="20% - Accent3 2" xfId="144"/>
    <cellStyle name="20% - Accent3_BALANCE.WARM.2011YEAR.NEW.UPDATE.SCHEME" xfId="145"/>
    <cellStyle name="20% - Accent4" xfId="146"/>
    <cellStyle name="20% - Accent4 2" xfId="147"/>
    <cellStyle name="20% - Accent4_BALANCE.WARM.2011YEAR.NEW.UPDATE.SCHEME" xfId="148"/>
    <cellStyle name="20% - Accent5" xfId="149"/>
    <cellStyle name="20% - Accent5 2" xfId="150"/>
    <cellStyle name="20% - Accent5_BALANCE.WARM.2011YEAR.NEW.UPDATE.SCHEME" xfId="151"/>
    <cellStyle name="20% - Accent6" xfId="152"/>
    <cellStyle name="20% - Accent6 2" xfId="153"/>
    <cellStyle name="20% - Accent6_BALANCE.WARM.2011YEAR.NEW.UPDATE.SCHEME" xfId="154"/>
    <cellStyle name="20% - Акцент1 2" xfId="155"/>
    <cellStyle name="20% - Акцент1 2 2" xfId="156"/>
    <cellStyle name="20% - Акцент1 2_BALANCE.WARM.2011YEAR.NEW.UPDATE.SCHEME" xfId="157"/>
    <cellStyle name="20% - Акцент1 3" xfId="158"/>
    <cellStyle name="20% - Акцент1 3 2" xfId="159"/>
    <cellStyle name="20% - Акцент1 3_BALANCE.WARM.2011YEAR.NEW.UPDATE.SCHEME" xfId="160"/>
    <cellStyle name="20% - Акцент1 4" xfId="161"/>
    <cellStyle name="20% - Акцент1 4 2" xfId="162"/>
    <cellStyle name="20% - Акцент1 4_BALANCE.WARM.2011YEAR.NEW.UPDATE.SCHEME" xfId="163"/>
    <cellStyle name="20% - Акцент1 5" xfId="164"/>
    <cellStyle name="20% - Акцент1 5 2" xfId="165"/>
    <cellStyle name="20% - Акцент1 5_BALANCE.WARM.2011YEAR.NEW.UPDATE.SCHEME" xfId="166"/>
    <cellStyle name="20% - Акцент1 6" xfId="167"/>
    <cellStyle name="20% - Акцент1 6 2" xfId="168"/>
    <cellStyle name="20% - Акцент1 6_BALANCE.WARM.2011YEAR.NEW.UPDATE.SCHEME" xfId="169"/>
    <cellStyle name="20% - Акцент1 7" xfId="170"/>
    <cellStyle name="20% - Акцент1 7 2" xfId="171"/>
    <cellStyle name="20% - Акцент1 7_BALANCE.WARM.2011YEAR.NEW.UPDATE.SCHEME" xfId="172"/>
    <cellStyle name="20% - Акцент1 8" xfId="173"/>
    <cellStyle name="20% - Акцент1 8 2" xfId="174"/>
    <cellStyle name="20% - Акцент1 8_BALANCE.WARM.2011YEAR.NEW.UPDATE.SCHEME" xfId="175"/>
    <cellStyle name="20% - Акцент1 9" xfId="176"/>
    <cellStyle name="20% - Акцент1 9 2" xfId="177"/>
    <cellStyle name="20% - Акцент1 9_BALANCE.WARM.2011YEAR.NEW.UPDATE.SCHEME" xfId="178"/>
    <cellStyle name="20% - Акцент2 2" xfId="179"/>
    <cellStyle name="20% - Акцент2 2 2" xfId="180"/>
    <cellStyle name="20% - Акцент2 2_BALANCE.WARM.2011YEAR.NEW.UPDATE.SCHEME" xfId="181"/>
    <cellStyle name="20% - Акцент2 3" xfId="182"/>
    <cellStyle name="20% - Акцент2 3 2" xfId="183"/>
    <cellStyle name="20% - Акцент2 3_BALANCE.WARM.2011YEAR.NEW.UPDATE.SCHEME" xfId="184"/>
    <cellStyle name="20% - Акцент2 4" xfId="185"/>
    <cellStyle name="20% - Акцент2 4 2" xfId="186"/>
    <cellStyle name="20% - Акцент2 4_BALANCE.WARM.2011YEAR.NEW.UPDATE.SCHEME" xfId="187"/>
    <cellStyle name="20% - Акцент2 5" xfId="188"/>
    <cellStyle name="20% - Акцент2 5 2" xfId="189"/>
    <cellStyle name="20% - Акцент2 5_BALANCE.WARM.2011YEAR.NEW.UPDATE.SCHEME" xfId="190"/>
    <cellStyle name="20% - Акцент2 6" xfId="191"/>
    <cellStyle name="20% - Акцент2 6 2" xfId="192"/>
    <cellStyle name="20% - Акцент2 6_BALANCE.WARM.2011YEAR.NEW.UPDATE.SCHEME" xfId="193"/>
    <cellStyle name="20% - Акцент2 7" xfId="194"/>
    <cellStyle name="20% - Акцент2 7 2" xfId="195"/>
    <cellStyle name="20% - Акцент2 7_BALANCE.WARM.2011YEAR.NEW.UPDATE.SCHEME" xfId="196"/>
    <cellStyle name="20% - Акцент2 8" xfId="197"/>
    <cellStyle name="20% - Акцент2 8 2" xfId="198"/>
    <cellStyle name="20% - Акцент2 8_BALANCE.WARM.2011YEAR.NEW.UPDATE.SCHEME" xfId="199"/>
    <cellStyle name="20% - Акцент2 9" xfId="200"/>
    <cellStyle name="20% - Акцент2 9 2" xfId="201"/>
    <cellStyle name="20% - Акцент2 9_BALANCE.WARM.2011YEAR.NEW.UPDATE.SCHEME" xfId="202"/>
    <cellStyle name="20% - Акцент3 2" xfId="203"/>
    <cellStyle name="20% - Акцент3 2 2" xfId="204"/>
    <cellStyle name="20% - Акцент3 2_BALANCE.WARM.2011YEAR.NEW.UPDATE.SCHEME" xfId="205"/>
    <cellStyle name="20% - Акцент3 3" xfId="206"/>
    <cellStyle name="20% - Акцент3 3 2" xfId="207"/>
    <cellStyle name="20% - Акцент3 3_BALANCE.WARM.2011YEAR.NEW.UPDATE.SCHEME" xfId="208"/>
    <cellStyle name="20% - Акцент3 4" xfId="209"/>
    <cellStyle name="20% - Акцент3 4 2" xfId="210"/>
    <cellStyle name="20% - Акцент3 4_BALANCE.WARM.2011YEAR.NEW.UPDATE.SCHEME" xfId="211"/>
    <cellStyle name="20% - Акцент3 5" xfId="212"/>
    <cellStyle name="20% - Акцент3 5 2" xfId="213"/>
    <cellStyle name="20% - Акцент3 5_BALANCE.WARM.2011YEAR.NEW.UPDATE.SCHEME" xfId="214"/>
    <cellStyle name="20% - Акцент3 6" xfId="215"/>
    <cellStyle name="20% - Акцент3 6 2" xfId="216"/>
    <cellStyle name="20% - Акцент3 6_BALANCE.WARM.2011YEAR.NEW.UPDATE.SCHEME" xfId="217"/>
    <cellStyle name="20% - Акцент3 7" xfId="218"/>
    <cellStyle name="20% - Акцент3 7 2" xfId="219"/>
    <cellStyle name="20% - Акцент3 7_BALANCE.WARM.2011YEAR.NEW.UPDATE.SCHEME" xfId="220"/>
    <cellStyle name="20% - Акцент3 8" xfId="221"/>
    <cellStyle name="20% - Акцент3 8 2" xfId="222"/>
    <cellStyle name="20% - Акцент3 8_BALANCE.WARM.2011YEAR.NEW.UPDATE.SCHEME" xfId="223"/>
    <cellStyle name="20% - Акцент3 9" xfId="224"/>
    <cellStyle name="20% - Акцент3 9 2" xfId="225"/>
    <cellStyle name="20% - Акцент3 9_BALANCE.WARM.2011YEAR.NEW.UPDATE.SCHEME" xfId="226"/>
    <cellStyle name="20% - Акцент4 2" xfId="227"/>
    <cellStyle name="20% - Акцент4 2 2" xfId="228"/>
    <cellStyle name="20% - Акцент4 2_BALANCE.WARM.2011YEAR.NEW.UPDATE.SCHEME" xfId="229"/>
    <cellStyle name="20% - Акцент4 3" xfId="230"/>
    <cellStyle name="20% - Акцент4 3 2" xfId="231"/>
    <cellStyle name="20% - Акцент4 3_BALANCE.WARM.2011YEAR.NEW.UPDATE.SCHEME" xfId="232"/>
    <cellStyle name="20% - Акцент4 4" xfId="233"/>
    <cellStyle name="20% - Акцент4 4 2" xfId="234"/>
    <cellStyle name="20% - Акцент4 4_BALANCE.WARM.2011YEAR.NEW.UPDATE.SCHEME" xfId="235"/>
    <cellStyle name="20% - Акцент4 5" xfId="236"/>
    <cellStyle name="20% - Акцент4 5 2" xfId="237"/>
    <cellStyle name="20% - Акцент4 5_BALANCE.WARM.2011YEAR.NEW.UPDATE.SCHEME" xfId="238"/>
    <cellStyle name="20% - Акцент4 6" xfId="239"/>
    <cellStyle name="20% - Акцент4 6 2" xfId="240"/>
    <cellStyle name="20% - Акцент4 6_BALANCE.WARM.2011YEAR.NEW.UPDATE.SCHEME" xfId="241"/>
    <cellStyle name="20% - Акцент4 7" xfId="242"/>
    <cellStyle name="20% - Акцент4 7 2" xfId="243"/>
    <cellStyle name="20% - Акцент4 7_BALANCE.WARM.2011YEAR.NEW.UPDATE.SCHEME" xfId="244"/>
    <cellStyle name="20% - Акцент4 8" xfId="245"/>
    <cellStyle name="20% - Акцент4 8 2" xfId="246"/>
    <cellStyle name="20% - Акцент4 8_BALANCE.WARM.2011YEAR.NEW.UPDATE.SCHEME" xfId="247"/>
    <cellStyle name="20% - Акцент4 9" xfId="248"/>
    <cellStyle name="20% - Акцент4 9 2" xfId="249"/>
    <cellStyle name="20% - Акцент4 9_BALANCE.WARM.2011YEAR.NEW.UPDATE.SCHEME" xfId="250"/>
    <cellStyle name="20% - Акцент5 2" xfId="251"/>
    <cellStyle name="20% - Акцент5 2 2" xfId="252"/>
    <cellStyle name="20% - Акцент5 2_BALANCE.WARM.2011YEAR.NEW.UPDATE.SCHEME" xfId="253"/>
    <cellStyle name="20% - Акцент5 3" xfId="254"/>
    <cellStyle name="20% - Акцент5 3 2" xfId="255"/>
    <cellStyle name="20% - Акцент5 3_BALANCE.WARM.2011YEAR.NEW.UPDATE.SCHEME" xfId="256"/>
    <cellStyle name="20% - Акцент5 4" xfId="257"/>
    <cellStyle name="20% - Акцент5 4 2" xfId="258"/>
    <cellStyle name="20% - Акцент5 4_BALANCE.WARM.2011YEAR.NEW.UPDATE.SCHEME" xfId="259"/>
    <cellStyle name="20% - Акцент5 5" xfId="260"/>
    <cellStyle name="20% - Акцент5 5 2" xfId="261"/>
    <cellStyle name="20% - Акцент5 5_BALANCE.WARM.2011YEAR.NEW.UPDATE.SCHEME" xfId="262"/>
    <cellStyle name="20% - Акцент5 6" xfId="263"/>
    <cellStyle name="20% - Акцент5 6 2" xfId="264"/>
    <cellStyle name="20% - Акцент5 6_BALANCE.WARM.2011YEAR.NEW.UPDATE.SCHEME" xfId="265"/>
    <cellStyle name="20% - Акцент5 7" xfId="266"/>
    <cellStyle name="20% - Акцент5 7 2" xfId="267"/>
    <cellStyle name="20% - Акцент5 7_BALANCE.WARM.2011YEAR.NEW.UPDATE.SCHEME" xfId="268"/>
    <cellStyle name="20% - Акцент5 8" xfId="269"/>
    <cellStyle name="20% - Акцент5 8 2" xfId="270"/>
    <cellStyle name="20% - Акцент5 8_BALANCE.WARM.2011YEAR.NEW.UPDATE.SCHEME" xfId="271"/>
    <cellStyle name="20% - Акцент5 9" xfId="272"/>
    <cellStyle name="20% - Акцент5 9 2" xfId="273"/>
    <cellStyle name="20% - Акцент5 9_BALANCE.WARM.2011YEAR.NEW.UPDATE.SCHEME" xfId="274"/>
    <cellStyle name="20% - Акцент6 2" xfId="275"/>
    <cellStyle name="20% - Акцент6 2 2" xfId="276"/>
    <cellStyle name="20% - Акцент6 2_BALANCE.WARM.2011YEAR.NEW.UPDATE.SCHEME" xfId="277"/>
    <cellStyle name="20% - Акцент6 3" xfId="278"/>
    <cellStyle name="20% - Акцент6 3 2" xfId="279"/>
    <cellStyle name="20% - Акцент6 3_BALANCE.WARM.2011YEAR.NEW.UPDATE.SCHEME" xfId="280"/>
    <cellStyle name="20% - Акцент6 4" xfId="281"/>
    <cellStyle name="20% - Акцент6 4 2" xfId="282"/>
    <cellStyle name="20% - Акцент6 4_BALANCE.WARM.2011YEAR.NEW.UPDATE.SCHEME" xfId="283"/>
    <cellStyle name="20% - Акцент6 5" xfId="284"/>
    <cellStyle name="20% - Акцент6 5 2" xfId="285"/>
    <cellStyle name="20% - Акцент6 5_BALANCE.WARM.2011YEAR.NEW.UPDATE.SCHEME" xfId="286"/>
    <cellStyle name="20% - Акцент6 6" xfId="287"/>
    <cellStyle name="20% - Акцент6 6 2" xfId="288"/>
    <cellStyle name="20% - Акцент6 6_BALANCE.WARM.2011YEAR.NEW.UPDATE.SCHEME" xfId="289"/>
    <cellStyle name="20% - Акцент6 7" xfId="290"/>
    <cellStyle name="20% - Акцент6 7 2" xfId="291"/>
    <cellStyle name="20% - Акцент6 7_BALANCE.WARM.2011YEAR.NEW.UPDATE.SCHEME" xfId="292"/>
    <cellStyle name="20% - Акцент6 8" xfId="293"/>
    <cellStyle name="20% - Акцент6 8 2" xfId="294"/>
    <cellStyle name="20% - Акцент6 8_BALANCE.WARM.2011YEAR.NEW.UPDATE.SCHEME" xfId="295"/>
    <cellStyle name="20% - Акцент6 9" xfId="296"/>
    <cellStyle name="20% - Акцент6 9 2" xfId="297"/>
    <cellStyle name="20% - Акцент6 9_BALANCE.WARM.2011YEAR.NEW.UPDATE.SCHEME" xfId="298"/>
    <cellStyle name="40% - Accent1" xfId="299"/>
    <cellStyle name="40% - Accent1 2" xfId="300"/>
    <cellStyle name="40% - Accent1_BALANCE.WARM.2011YEAR.NEW.UPDATE.SCHEME" xfId="301"/>
    <cellStyle name="40% - Accent2" xfId="302"/>
    <cellStyle name="40% - Accent2 2" xfId="303"/>
    <cellStyle name="40% - Accent2_BALANCE.WARM.2011YEAR.NEW.UPDATE.SCHEME" xfId="304"/>
    <cellStyle name="40% - Accent3" xfId="305"/>
    <cellStyle name="40% - Accent3 2" xfId="306"/>
    <cellStyle name="40% - Accent3_BALANCE.WARM.2011YEAR.NEW.UPDATE.SCHEME" xfId="307"/>
    <cellStyle name="40% - Accent4" xfId="308"/>
    <cellStyle name="40% - Accent4 2" xfId="309"/>
    <cellStyle name="40% - Accent4_BALANCE.WARM.2011YEAR.NEW.UPDATE.SCHEME" xfId="310"/>
    <cellStyle name="40% - Accent5" xfId="311"/>
    <cellStyle name="40% - Accent5 2" xfId="312"/>
    <cellStyle name="40% - Accent5_BALANCE.WARM.2011YEAR.NEW.UPDATE.SCHEME" xfId="313"/>
    <cellStyle name="40% - Accent6" xfId="314"/>
    <cellStyle name="40% - Accent6 2" xfId="315"/>
    <cellStyle name="40% - Accent6_BALANCE.WARM.2011YEAR.NEW.UPDATE.SCHEME" xfId="316"/>
    <cellStyle name="40% - Акцент1 2" xfId="317"/>
    <cellStyle name="40% - Акцент1 2 2" xfId="318"/>
    <cellStyle name="40% - Акцент1 2_BALANCE.WARM.2011YEAR.NEW.UPDATE.SCHEME" xfId="319"/>
    <cellStyle name="40% - Акцент1 3" xfId="320"/>
    <cellStyle name="40% - Акцент1 3 2" xfId="321"/>
    <cellStyle name="40% - Акцент1 3_BALANCE.WARM.2011YEAR.NEW.UPDATE.SCHEME" xfId="322"/>
    <cellStyle name="40% - Акцент1 4" xfId="323"/>
    <cellStyle name="40% - Акцент1 4 2" xfId="324"/>
    <cellStyle name="40% - Акцент1 4_BALANCE.WARM.2011YEAR.NEW.UPDATE.SCHEME" xfId="325"/>
    <cellStyle name="40% - Акцент1 5" xfId="326"/>
    <cellStyle name="40% - Акцент1 5 2" xfId="327"/>
    <cellStyle name="40% - Акцент1 5_BALANCE.WARM.2011YEAR.NEW.UPDATE.SCHEME" xfId="328"/>
    <cellStyle name="40% - Акцент1 6" xfId="329"/>
    <cellStyle name="40% - Акцент1 6 2" xfId="330"/>
    <cellStyle name="40% - Акцент1 6_BALANCE.WARM.2011YEAR.NEW.UPDATE.SCHEME" xfId="331"/>
    <cellStyle name="40% - Акцент1 7" xfId="332"/>
    <cellStyle name="40% - Акцент1 7 2" xfId="333"/>
    <cellStyle name="40% - Акцент1 7_BALANCE.WARM.2011YEAR.NEW.UPDATE.SCHEME" xfId="334"/>
    <cellStyle name="40% - Акцент1 8" xfId="335"/>
    <cellStyle name="40% - Акцент1 8 2" xfId="336"/>
    <cellStyle name="40% - Акцент1 8_BALANCE.WARM.2011YEAR.NEW.UPDATE.SCHEME" xfId="337"/>
    <cellStyle name="40% - Акцент1 9" xfId="338"/>
    <cellStyle name="40% - Акцент1 9 2" xfId="339"/>
    <cellStyle name="40% - Акцент1 9_BALANCE.WARM.2011YEAR.NEW.UPDATE.SCHEME" xfId="340"/>
    <cellStyle name="40% - Акцент2 2" xfId="341"/>
    <cellStyle name="40% - Акцент2 2 2" xfId="342"/>
    <cellStyle name="40% - Акцент2 2_BALANCE.WARM.2011YEAR.NEW.UPDATE.SCHEME" xfId="343"/>
    <cellStyle name="40% - Акцент2 3" xfId="344"/>
    <cellStyle name="40% - Акцент2 3 2" xfId="345"/>
    <cellStyle name="40% - Акцент2 3_BALANCE.WARM.2011YEAR.NEW.UPDATE.SCHEME" xfId="346"/>
    <cellStyle name="40% - Акцент2 4" xfId="347"/>
    <cellStyle name="40% - Акцент2 4 2" xfId="348"/>
    <cellStyle name="40% - Акцент2 4_BALANCE.WARM.2011YEAR.NEW.UPDATE.SCHEME" xfId="349"/>
    <cellStyle name="40% - Акцент2 5" xfId="350"/>
    <cellStyle name="40% - Акцент2 5 2" xfId="351"/>
    <cellStyle name="40% - Акцент2 5_BALANCE.WARM.2011YEAR.NEW.UPDATE.SCHEME" xfId="352"/>
    <cellStyle name="40% - Акцент2 6" xfId="353"/>
    <cellStyle name="40% - Акцент2 6 2" xfId="354"/>
    <cellStyle name="40% - Акцент2 6_BALANCE.WARM.2011YEAR.NEW.UPDATE.SCHEME" xfId="355"/>
    <cellStyle name="40% - Акцент2 7" xfId="356"/>
    <cellStyle name="40% - Акцент2 7 2" xfId="357"/>
    <cellStyle name="40% - Акцент2 7_BALANCE.WARM.2011YEAR.NEW.UPDATE.SCHEME" xfId="358"/>
    <cellStyle name="40% - Акцент2 8" xfId="359"/>
    <cellStyle name="40% - Акцент2 8 2" xfId="360"/>
    <cellStyle name="40% - Акцент2 8_BALANCE.WARM.2011YEAR.NEW.UPDATE.SCHEME" xfId="361"/>
    <cellStyle name="40% - Акцент2 9" xfId="362"/>
    <cellStyle name="40% - Акцент2 9 2" xfId="363"/>
    <cellStyle name="40% - Акцент2 9_BALANCE.WARM.2011YEAR.NEW.UPDATE.SCHEME" xfId="364"/>
    <cellStyle name="40% - Акцент3 2" xfId="365"/>
    <cellStyle name="40% - Акцент3 2 2" xfId="366"/>
    <cellStyle name="40% - Акцент3 2_BALANCE.WARM.2011YEAR.NEW.UPDATE.SCHEME" xfId="367"/>
    <cellStyle name="40% - Акцент3 3" xfId="368"/>
    <cellStyle name="40% - Акцент3 3 2" xfId="369"/>
    <cellStyle name="40% - Акцент3 3_BALANCE.WARM.2011YEAR.NEW.UPDATE.SCHEME" xfId="370"/>
    <cellStyle name="40% - Акцент3 4" xfId="371"/>
    <cellStyle name="40% - Акцент3 4 2" xfId="372"/>
    <cellStyle name="40% - Акцент3 4_BALANCE.WARM.2011YEAR.NEW.UPDATE.SCHEME" xfId="373"/>
    <cellStyle name="40% - Акцент3 5" xfId="374"/>
    <cellStyle name="40% - Акцент3 5 2" xfId="375"/>
    <cellStyle name="40% - Акцент3 5_BALANCE.WARM.2011YEAR.NEW.UPDATE.SCHEME" xfId="376"/>
    <cellStyle name="40% - Акцент3 6" xfId="377"/>
    <cellStyle name="40% - Акцент3 6 2" xfId="378"/>
    <cellStyle name="40% - Акцент3 6_BALANCE.WARM.2011YEAR.NEW.UPDATE.SCHEME" xfId="379"/>
    <cellStyle name="40% - Акцент3 7" xfId="380"/>
    <cellStyle name="40% - Акцент3 7 2" xfId="381"/>
    <cellStyle name="40% - Акцент3 7_BALANCE.WARM.2011YEAR.NEW.UPDATE.SCHEME" xfId="382"/>
    <cellStyle name="40% - Акцент3 8" xfId="383"/>
    <cellStyle name="40% - Акцент3 8 2" xfId="384"/>
    <cellStyle name="40% - Акцент3 8_BALANCE.WARM.2011YEAR.NEW.UPDATE.SCHEME" xfId="385"/>
    <cellStyle name="40% - Акцент3 9" xfId="386"/>
    <cellStyle name="40% - Акцент3 9 2" xfId="387"/>
    <cellStyle name="40% - Акцент3 9_BALANCE.WARM.2011YEAR.NEW.UPDATE.SCHEME" xfId="388"/>
    <cellStyle name="40% - Акцент4 2" xfId="389"/>
    <cellStyle name="40% - Акцент4 2 2" xfId="390"/>
    <cellStyle name="40% - Акцент4 2_BALANCE.WARM.2011YEAR.NEW.UPDATE.SCHEME" xfId="391"/>
    <cellStyle name="40% - Акцент4 3" xfId="392"/>
    <cellStyle name="40% - Акцент4 3 2" xfId="393"/>
    <cellStyle name="40% - Акцент4 3_BALANCE.WARM.2011YEAR.NEW.UPDATE.SCHEME" xfId="394"/>
    <cellStyle name="40% - Акцент4 4" xfId="395"/>
    <cellStyle name="40% - Акцент4 4 2" xfId="396"/>
    <cellStyle name="40% - Акцент4 4_BALANCE.WARM.2011YEAR.NEW.UPDATE.SCHEME" xfId="397"/>
    <cellStyle name="40% - Акцент4 5" xfId="398"/>
    <cellStyle name="40% - Акцент4 5 2" xfId="399"/>
    <cellStyle name="40% - Акцент4 5_BALANCE.WARM.2011YEAR.NEW.UPDATE.SCHEME" xfId="400"/>
    <cellStyle name="40% - Акцент4 6" xfId="401"/>
    <cellStyle name="40% - Акцент4 6 2" xfId="402"/>
    <cellStyle name="40% - Акцент4 6_BALANCE.WARM.2011YEAR.NEW.UPDATE.SCHEME" xfId="403"/>
    <cellStyle name="40% - Акцент4 7" xfId="404"/>
    <cellStyle name="40% - Акцент4 7 2" xfId="405"/>
    <cellStyle name="40% - Акцент4 7_BALANCE.WARM.2011YEAR.NEW.UPDATE.SCHEME" xfId="406"/>
    <cellStyle name="40% - Акцент4 8" xfId="407"/>
    <cellStyle name="40% - Акцент4 8 2" xfId="408"/>
    <cellStyle name="40% - Акцент4 8_BALANCE.WARM.2011YEAR.NEW.UPDATE.SCHEME" xfId="409"/>
    <cellStyle name="40% - Акцент4 9" xfId="410"/>
    <cellStyle name="40% - Акцент4 9 2" xfId="411"/>
    <cellStyle name="40% - Акцент4 9_BALANCE.WARM.2011YEAR.NEW.UPDATE.SCHEME" xfId="412"/>
    <cellStyle name="40% - Акцент5 2" xfId="413"/>
    <cellStyle name="40% - Акцент5 2 2" xfId="414"/>
    <cellStyle name="40% - Акцент5 2_BALANCE.WARM.2011YEAR.NEW.UPDATE.SCHEME" xfId="415"/>
    <cellStyle name="40% - Акцент5 3" xfId="416"/>
    <cellStyle name="40% - Акцент5 3 2" xfId="417"/>
    <cellStyle name="40% - Акцент5 3_BALANCE.WARM.2011YEAR.NEW.UPDATE.SCHEME" xfId="418"/>
    <cellStyle name="40% - Акцент5 4" xfId="419"/>
    <cellStyle name="40% - Акцент5 4 2" xfId="420"/>
    <cellStyle name="40% - Акцент5 4_BALANCE.WARM.2011YEAR.NEW.UPDATE.SCHEME" xfId="421"/>
    <cellStyle name="40% - Акцент5 5" xfId="422"/>
    <cellStyle name="40% - Акцент5 5 2" xfId="423"/>
    <cellStyle name="40% - Акцент5 5_BALANCE.WARM.2011YEAR.NEW.UPDATE.SCHEME" xfId="424"/>
    <cellStyle name="40% - Акцент5 6" xfId="425"/>
    <cellStyle name="40% - Акцент5 6 2" xfId="426"/>
    <cellStyle name="40% - Акцент5 6_BALANCE.WARM.2011YEAR.NEW.UPDATE.SCHEME" xfId="427"/>
    <cellStyle name="40% - Акцент5 7" xfId="428"/>
    <cellStyle name="40% - Акцент5 7 2" xfId="429"/>
    <cellStyle name="40% - Акцент5 7_BALANCE.WARM.2011YEAR.NEW.UPDATE.SCHEME" xfId="430"/>
    <cellStyle name="40% - Акцент5 8" xfId="431"/>
    <cellStyle name="40% - Акцент5 8 2" xfId="432"/>
    <cellStyle name="40% - Акцент5 8_BALANCE.WARM.2011YEAR.NEW.UPDATE.SCHEME" xfId="433"/>
    <cellStyle name="40% - Акцент5 9" xfId="434"/>
    <cellStyle name="40% - Акцент5 9 2" xfId="435"/>
    <cellStyle name="40% - Акцент5 9_BALANCE.WARM.2011YEAR.NEW.UPDATE.SCHEME" xfId="436"/>
    <cellStyle name="40% - Акцент6 2" xfId="437"/>
    <cellStyle name="40% - Акцент6 2 2" xfId="438"/>
    <cellStyle name="40% - Акцент6 2_BALANCE.WARM.2011YEAR.NEW.UPDATE.SCHEME" xfId="439"/>
    <cellStyle name="40% - Акцент6 3" xfId="440"/>
    <cellStyle name="40% - Акцент6 3 2" xfId="441"/>
    <cellStyle name="40% - Акцент6 3_BALANCE.WARM.2011YEAR.NEW.UPDATE.SCHEME" xfId="442"/>
    <cellStyle name="40% - Акцент6 4" xfId="443"/>
    <cellStyle name="40% - Акцент6 4 2" xfId="444"/>
    <cellStyle name="40% - Акцент6 4_BALANCE.WARM.2011YEAR.NEW.UPDATE.SCHEME" xfId="445"/>
    <cellStyle name="40% - Акцент6 5" xfId="446"/>
    <cellStyle name="40% - Акцент6 5 2" xfId="447"/>
    <cellStyle name="40% - Акцент6 5_BALANCE.WARM.2011YEAR.NEW.UPDATE.SCHEME" xfId="448"/>
    <cellStyle name="40% - Акцент6 6" xfId="449"/>
    <cellStyle name="40% - Акцент6 6 2" xfId="450"/>
    <cellStyle name="40% - Акцент6 6_BALANCE.WARM.2011YEAR.NEW.UPDATE.SCHEME" xfId="451"/>
    <cellStyle name="40% - Акцент6 7" xfId="452"/>
    <cellStyle name="40% - Акцент6 7 2" xfId="453"/>
    <cellStyle name="40% - Акцент6 7_BALANCE.WARM.2011YEAR.NEW.UPDATE.SCHEME" xfId="454"/>
    <cellStyle name="40% - Акцент6 8" xfId="455"/>
    <cellStyle name="40% - Акцент6 8 2" xfId="456"/>
    <cellStyle name="40% - Акцент6 8_BALANCE.WARM.2011YEAR.NEW.UPDATE.SCHEME" xfId="457"/>
    <cellStyle name="40% - Акцент6 9" xfId="458"/>
    <cellStyle name="40% - Акцент6 9 2" xfId="459"/>
    <cellStyle name="40% - Акцент6 9_BALANCE.WARM.2011YEAR.NEW.UPDATE.SCHEME" xfId="460"/>
    <cellStyle name="60% - Accent1" xfId="461"/>
    <cellStyle name="60% - Accent2" xfId="462"/>
    <cellStyle name="60% - Accent3" xfId="463"/>
    <cellStyle name="60% - Accent4" xfId="464"/>
    <cellStyle name="60% - Accent5" xfId="465"/>
    <cellStyle name="60% - Accent6" xfId="466"/>
    <cellStyle name="60% - Акцент1 2" xfId="467"/>
    <cellStyle name="60% - Акцент1 2 2" xfId="468"/>
    <cellStyle name="60% - Акцент1 3" xfId="469"/>
    <cellStyle name="60% - Акцент1 3 2" xfId="470"/>
    <cellStyle name="60% - Акцент1 4" xfId="471"/>
    <cellStyle name="60% - Акцент1 4 2" xfId="472"/>
    <cellStyle name="60% - Акцент1 5" xfId="473"/>
    <cellStyle name="60% - Акцент1 5 2" xfId="474"/>
    <cellStyle name="60% - Акцент1 6" xfId="475"/>
    <cellStyle name="60% - Акцент1 6 2" xfId="476"/>
    <cellStyle name="60% - Акцент1 7" xfId="477"/>
    <cellStyle name="60% - Акцент1 7 2" xfId="478"/>
    <cellStyle name="60% - Акцент1 8" xfId="479"/>
    <cellStyle name="60% - Акцент1 8 2" xfId="480"/>
    <cellStyle name="60% - Акцент1 9" xfId="481"/>
    <cellStyle name="60% - Акцент1 9 2" xfId="482"/>
    <cellStyle name="60% - Акцент2 2" xfId="483"/>
    <cellStyle name="60% - Акцент2 2 2" xfId="484"/>
    <cellStyle name="60% - Акцент2 3" xfId="485"/>
    <cellStyle name="60% - Акцент2 3 2" xfId="486"/>
    <cellStyle name="60% - Акцент2 4" xfId="487"/>
    <cellStyle name="60% - Акцент2 4 2" xfId="488"/>
    <cellStyle name="60% - Акцент2 5" xfId="489"/>
    <cellStyle name="60% - Акцент2 5 2" xfId="490"/>
    <cellStyle name="60% - Акцент2 6" xfId="491"/>
    <cellStyle name="60% - Акцент2 6 2" xfId="492"/>
    <cellStyle name="60% - Акцент2 7" xfId="493"/>
    <cellStyle name="60% - Акцент2 7 2" xfId="494"/>
    <cellStyle name="60% - Акцент2 8" xfId="495"/>
    <cellStyle name="60% - Акцент2 8 2" xfId="496"/>
    <cellStyle name="60% - Акцент2 9" xfId="497"/>
    <cellStyle name="60% - Акцент2 9 2" xfId="498"/>
    <cellStyle name="60% - Акцент3 2" xfId="499"/>
    <cellStyle name="60% - Акцент3 2 2" xfId="500"/>
    <cellStyle name="60% - Акцент3 3" xfId="501"/>
    <cellStyle name="60% - Акцент3 3 2" xfId="502"/>
    <cellStyle name="60% - Акцент3 4" xfId="503"/>
    <cellStyle name="60% - Акцент3 4 2" xfId="504"/>
    <cellStyle name="60% - Акцент3 5" xfId="505"/>
    <cellStyle name="60% - Акцент3 5 2" xfId="506"/>
    <cellStyle name="60% - Акцент3 6" xfId="507"/>
    <cellStyle name="60% - Акцент3 6 2" xfId="508"/>
    <cellStyle name="60% - Акцент3 7" xfId="509"/>
    <cellStyle name="60% - Акцент3 7 2" xfId="510"/>
    <cellStyle name="60% - Акцент3 8" xfId="511"/>
    <cellStyle name="60% - Акцент3 8 2" xfId="512"/>
    <cellStyle name="60% - Акцент3 9" xfId="513"/>
    <cellStyle name="60% - Акцент3 9 2" xfId="514"/>
    <cellStyle name="60% - Акцент4 2" xfId="515"/>
    <cellStyle name="60% - Акцент4 2 2" xfId="516"/>
    <cellStyle name="60% - Акцент4 3" xfId="517"/>
    <cellStyle name="60% - Акцент4 3 2" xfId="518"/>
    <cellStyle name="60% - Акцент4 4" xfId="519"/>
    <cellStyle name="60% - Акцент4 4 2" xfId="520"/>
    <cellStyle name="60% - Акцент4 5" xfId="521"/>
    <cellStyle name="60% - Акцент4 5 2" xfId="522"/>
    <cellStyle name="60% - Акцент4 6" xfId="523"/>
    <cellStyle name="60% - Акцент4 6 2" xfId="524"/>
    <cellStyle name="60% - Акцент4 7" xfId="525"/>
    <cellStyle name="60% - Акцент4 7 2" xfId="526"/>
    <cellStyle name="60% - Акцент4 8" xfId="527"/>
    <cellStyle name="60% - Акцент4 8 2" xfId="528"/>
    <cellStyle name="60% - Акцент4 9" xfId="529"/>
    <cellStyle name="60% - Акцент4 9 2" xfId="530"/>
    <cellStyle name="60% - Акцент5 2" xfId="531"/>
    <cellStyle name="60% - Акцент5 2 2" xfId="532"/>
    <cellStyle name="60% - Акцент5 3" xfId="533"/>
    <cellStyle name="60% - Акцент5 3 2" xfId="534"/>
    <cellStyle name="60% - Акцент5 4" xfId="535"/>
    <cellStyle name="60% - Акцент5 4 2" xfId="536"/>
    <cellStyle name="60% - Акцент5 5" xfId="537"/>
    <cellStyle name="60% - Акцент5 5 2" xfId="538"/>
    <cellStyle name="60% - Акцент5 6" xfId="539"/>
    <cellStyle name="60% - Акцент5 6 2" xfId="540"/>
    <cellStyle name="60% - Акцент5 7" xfId="541"/>
    <cellStyle name="60% - Акцент5 7 2" xfId="542"/>
    <cellStyle name="60% - Акцент5 8" xfId="543"/>
    <cellStyle name="60% - Акцент5 8 2" xfId="544"/>
    <cellStyle name="60% - Акцент5 9" xfId="545"/>
    <cellStyle name="60% - Акцент5 9 2" xfId="546"/>
    <cellStyle name="60% - Акцент6 2" xfId="547"/>
    <cellStyle name="60% - Акцент6 2 2" xfId="548"/>
    <cellStyle name="60% - Акцент6 3" xfId="549"/>
    <cellStyle name="60% - Акцент6 3 2" xfId="550"/>
    <cellStyle name="60% - Акцент6 4" xfId="551"/>
    <cellStyle name="60% - Акцент6 4 2" xfId="552"/>
    <cellStyle name="60% - Акцент6 5" xfId="553"/>
    <cellStyle name="60% - Акцент6 5 2" xfId="554"/>
    <cellStyle name="60% - Акцент6 6" xfId="555"/>
    <cellStyle name="60% - Акцент6 6 2" xfId="556"/>
    <cellStyle name="60% - Акцент6 7" xfId="557"/>
    <cellStyle name="60% - Акцент6 7 2" xfId="558"/>
    <cellStyle name="60% - Акцент6 8" xfId="559"/>
    <cellStyle name="60% - Акцент6 8 2" xfId="560"/>
    <cellStyle name="60% - Акцент6 9" xfId="561"/>
    <cellStyle name="60% - Акцент6 9 2" xfId="562"/>
    <cellStyle name="Aaia?iue [0]_?anoiau" xfId="563"/>
    <cellStyle name="Aaia?iue_?anoiau" xfId="564"/>
    <cellStyle name="Accent1" xfId="565"/>
    <cellStyle name="Accent2" xfId="566"/>
    <cellStyle name="Accent3" xfId="567"/>
    <cellStyle name="Accent4" xfId="568"/>
    <cellStyle name="Accent5" xfId="569"/>
    <cellStyle name="Accent6" xfId="570"/>
    <cellStyle name="Ăčďĺđńńűëęŕ" xfId="571"/>
    <cellStyle name="Ăčďĺđńńűëęŕ 2" xfId="1680"/>
    <cellStyle name="Aeia?nnueea" xfId="572"/>
    <cellStyle name="AFE" xfId="573"/>
    <cellStyle name="AFE 2" xfId="574"/>
    <cellStyle name="AFE_Копия ТНХ - ПОФ 2010 г version2 УКС от 30.07.2009" xfId="575"/>
    <cellStyle name="Áĺççŕůčňíűé" xfId="576"/>
    <cellStyle name="Äĺíĺćíűé [0]_(ňŕá 3č)" xfId="577"/>
    <cellStyle name="Äĺíĺćíűé_(ňŕá 3č)" xfId="578"/>
    <cellStyle name="Bad" xfId="579"/>
    <cellStyle name="Calc Currency (0)" xfId="580"/>
    <cellStyle name="Calc Currency (0) 2" xfId="1681"/>
    <cellStyle name="Calculation" xfId="581"/>
    <cellStyle name="Check Cell" xfId="582"/>
    <cellStyle name="Comma [0]_0_Cash" xfId="583"/>
    <cellStyle name="Comma_0_Cash" xfId="584"/>
    <cellStyle name="Comma0" xfId="585"/>
    <cellStyle name="Comma0 2" xfId="1682"/>
    <cellStyle name="Çŕůčňíűé" xfId="586"/>
    <cellStyle name="Currency [0]" xfId="587"/>
    <cellStyle name="Currency [0] 2" xfId="588"/>
    <cellStyle name="Currency [0] 2 2" xfId="589"/>
    <cellStyle name="Currency [0] 2 3" xfId="590"/>
    <cellStyle name="Currency [0] 2 4" xfId="591"/>
    <cellStyle name="Currency [0] 2 5" xfId="592"/>
    <cellStyle name="Currency [0] 2 6" xfId="593"/>
    <cellStyle name="Currency [0] 2 7" xfId="594"/>
    <cellStyle name="Currency [0] 2 8" xfId="595"/>
    <cellStyle name="Currency [0] 3" xfId="596"/>
    <cellStyle name="Currency [0] 3 2" xfId="597"/>
    <cellStyle name="Currency [0] 3 3" xfId="598"/>
    <cellStyle name="Currency [0] 3 4" xfId="599"/>
    <cellStyle name="Currency [0] 3 5" xfId="600"/>
    <cellStyle name="Currency [0] 3 6" xfId="601"/>
    <cellStyle name="Currency [0] 3 7" xfId="602"/>
    <cellStyle name="Currency [0] 3 8" xfId="603"/>
    <cellStyle name="Currency [0] 4" xfId="604"/>
    <cellStyle name="Currency [0] 4 2" xfId="605"/>
    <cellStyle name="Currency [0] 4 3" xfId="606"/>
    <cellStyle name="Currency [0] 4 4" xfId="607"/>
    <cellStyle name="Currency [0] 4 5" xfId="608"/>
    <cellStyle name="Currency [0] 4 6" xfId="609"/>
    <cellStyle name="Currency [0] 4 7" xfId="610"/>
    <cellStyle name="Currency [0] 4 8" xfId="611"/>
    <cellStyle name="Currency [0] 5" xfId="612"/>
    <cellStyle name="Currency [0] 5 2" xfId="613"/>
    <cellStyle name="Currency [0] 5 3" xfId="614"/>
    <cellStyle name="Currency [0] 5 4" xfId="615"/>
    <cellStyle name="Currency [0] 5 5" xfId="616"/>
    <cellStyle name="Currency [0] 5 6" xfId="617"/>
    <cellStyle name="Currency [0] 5 7" xfId="618"/>
    <cellStyle name="Currency [0] 5 8" xfId="619"/>
    <cellStyle name="Currency [0] 6" xfId="620"/>
    <cellStyle name="Currency [0] 6 2" xfId="621"/>
    <cellStyle name="Currency [0] 7" xfId="622"/>
    <cellStyle name="Currency [0] 7 2" xfId="623"/>
    <cellStyle name="Currency [0] 8" xfId="624"/>
    <cellStyle name="Currency [0] 8 2" xfId="625"/>
    <cellStyle name="Currency [0]_0_Cash" xfId="626"/>
    <cellStyle name="Currency_0_Cash" xfId="627"/>
    <cellStyle name="Currency0" xfId="628"/>
    <cellStyle name="Date" xfId="629"/>
    <cellStyle name="Date 2" xfId="1683"/>
    <cellStyle name="Dates" xfId="630"/>
    <cellStyle name="E-mail" xfId="631"/>
    <cellStyle name="Euro" xfId="632"/>
    <cellStyle name="Euro 2" xfId="1684"/>
    <cellStyle name="Explanatory Text" xfId="633"/>
    <cellStyle name="F2" xfId="634"/>
    <cellStyle name="F3" xfId="635"/>
    <cellStyle name="F4" xfId="636"/>
    <cellStyle name="F5" xfId="637"/>
    <cellStyle name="F6" xfId="638"/>
    <cellStyle name="F7" xfId="639"/>
    <cellStyle name="F8" xfId="640"/>
    <cellStyle name="Fixed" xfId="641"/>
    <cellStyle name="Fixed 2" xfId="1685"/>
    <cellStyle name="Followed Hyperlink_Draft-forms" xfId="642"/>
    <cellStyle name="Good" xfId="643"/>
    <cellStyle name="Header1" xfId="644"/>
    <cellStyle name="Header2" xfId="645"/>
    <cellStyle name="Heading" xfId="646"/>
    <cellStyle name="Heading 1" xfId="647"/>
    <cellStyle name="Heading 1 2" xfId="1686"/>
    <cellStyle name="Heading 2" xfId="648"/>
    <cellStyle name="Heading 2 2" xfId="1687"/>
    <cellStyle name="Heading 3" xfId="649"/>
    <cellStyle name="Heading 4" xfId="650"/>
    <cellStyle name="Heading2" xfId="651"/>
    <cellStyle name="Hyperlink_Tier 1" xfId="652"/>
    <cellStyle name="Iau?iue_?anoiau" xfId="653"/>
    <cellStyle name="Îáű÷íűé__FES" xfId="654"/>
    <cellStyle name="Îňęđűâŕâřŕ˙ń˙ ăčďĺđńńűëęŕ" xfId="655"/>
    <cellStyle name="Îňęđűâŕâřŕ˙ń˙ ăčďĺđńńűëęŕ 2" xfId="1688"/>
    <cellStyle name="Input" xfId="656"/>
    <cellStyle name="Inputs" xfId="657"/>
    <cellStyle name="Inputs (const)" xfId="658"/>
    <cellStyle name="Inputs Co" xfId="659"/>
    <cellStyle name="Inputs_BALANCE.WARM.2011YEAR.NEW.UPDATE.SCHEME" xfId="660"/>
    <cellStyle name="Ioe?uaaaoayny aeia?nnueea" xfId="661"/>
    <cellStyle name="ISO" xfId="662"/>
    <cellStyle name="ISO 2" xfId="1689"/>
    <cellStyle name="Komma [0]_laroux" xfId="663"/>
    <cellStyle name="Komma_laroux" xfId="664"/>
    <cellStyle name="KOP" xfId="665"/>
    <cellStyle name="KOP2" xfId="666"/>
    <cellStyle name="KOPP" xfId="667"/>
    <cellStyle name="Linked Cell" xfId="668"/>
    <cellStyle name="Neutral" xfId="669"/>
    <cellStyle name="normal" xfId="670"/>
    <cellStyle name="Normal 2" xfId="671"/>
    <cellStyle name="normal 3" xfId="672"/>
    <cellStyle name="normal 4" xfId="673"/>
    <cellStyle name="normal 5" xfId="674"/>
    <cellStyle name="normal 6" xfId="675"/>
    <cellStyle name="normal 7" xfId="676"/>
    <cellStyle name="normal 8" xfId="677"/>
    <cellStyle name="normal 9" xfId="678"/>
    <cellStyle name="Normal_#10-Headcount" xfId="679"/>
    <cellStyle name="Normal1" xfId="680"/>
    <cellStyle name="normбlnм_laroux" xfId="681"/>
    <cellStyle name="Note" xfId="682"/>
    <cellStyle name="Nun??c [0]_a drainl" xfId="683"/>
    <cellStyle name="Nun??c_a drainl" xfId="684"/>
    <cellStyle name="Ňűń˙÷č [0]_â đŕáîňĺ" xfId="685"/>
    <cellStyle name="Ňűń˙÷č_â đŕáîňĺ" xfId="686"/>
    <cellStyle name="Ôčíŕíńîâűé [0]_(ňŕá 3č)" xfId="687"/>
    <cellStyle name="Ociriniaue [0]_Di?nicnleuir?" xfId="688"/>
    <cellStyle name="Ôčíŕíńîâűé_(ňŕá 3č)" xfId="689"/>
    <cellStyle name="Ociriniaue_Di?nicnleuir?" xfId="690"/>
    <cellStyle name="Oeiainiaue [0]_?anoiau" xfId="691"/>
    <cellStyle name="Oeiainiaue_?anoiau" xfId="692"/>
    <cellStyle name="Ouny?e [0]_?anoiau" xfId="693"/>
    <cellStyle name="Ouny?e_?anoiau" xfId="694"/>
    <cellStyle name="Output" xfId="695"/>
    <cellStyle name="p/n" xfId="696"/>
    <cellStyle name="p/n 2" xfId="1690"/>
    <cellStyle name="Paaotsikko" xfId="697"/>
    <cellStyle name="Paaotsikko 2" xfId="1691"/>
    <cellStyle name="Price_Body" xfId="698"/>
    <cellStyle name="PSChar" xfId="1692"/>
    <cellStyle name="PSHeading" xfId="1693"/>
    <cellStyle name="Pддotsikko" xfId="699"/>
    <cellStyle name="Pддotsikko 2" xfId="1694"/>
    <cellStyle name="REGEL" xfId="700"/>
    <cellStyle name="SAPBEXaggData" xfId="701"/>
    <cellStyle name="SAPBEXaggDataEmph" xfId="702"/>
    <cellStyle name="SAPBEXaggItem" xfId="703"/>
    <cellStyle name="SAPBEXaggItemX" xfId="704"/>
    <cellStyle name="SAPBEXchaText" xfId="705"/>
    <cellStyle name="SAPBEXexcBad7" xfId="706"/>
    <cellStyle name="SAPBEXexcBad8" xfId="707"/>
    <cellStyle name="SAPBEXexcBad9" xfId="708"/>
    <cellStyle name="SAPBEXexcCritical4" xfId="709"/>
    <cellStyle name="SAPBEXexcCritical5" xfId="710"/>
    <cellStyle name="SAPBEXexcCritical6" xfId="711"/>
    <cellStyle name="SAPBEXexcGood1" xfId="712"/>
    <cellStyle name="SAPBEXexcGood2" xfId="713"/>
    <cellStyle name="SAPBEXexcGood3" xfId="714"/>
    <cellStyle name="SAPBEXfilterDrill" xfId="715"/>
    <cellStyle name="SAPBEXfilterItem" xfId="716"/>
    <cellStyle name="SAPBEXfilterText" xfId="717"/>
    <cellStyle name="SAPBEXformats" xfId="718"/>
    <cellStyle name="SAPBEXheaderItem" xfId="719"/>
    <cellStyle name="SAPBEXheaderText" xfId="720"/>
    <cellStyle name="SAPBEXHLevel0" xfId="721"/>
    <cellStyle name="SAPBEXHLevel0X" xfId="722"/>
    <cellStyle name="SAPBEXHLevel1" xfId="723"/>
    <cellStyle name="SAPBEXHLevel1X" xfId="724"/>
    <cellStyle name="SAPBEXHLevel2" xfId="725"/>
    <cellStyle name="SAPBEXHLevel2X" xfId="726"/>
    <cellStyle name="SAPBEXHLevel3" xfId="727"/>
    <cellStyle name="SAPBEXHLevel3X" xfId="728"/>
    <cellStyle name="SAPBEXinputData" xfId="729"/>
    <cellStyle name="SAPBEXresData" xfId="730"/>
    <cellStyle name="SAPBEXresDataEmph" xfId="731"/>
    <cellStyle name="SAPBEXresItem" xfId="732"/>
    <cellStyle name="SAPBEXresItemX" xfId="733"/>
    <cellStyle name="SAPBEXstdData" xfId="734"/>
    <cellStyle name="SAPBEXstdDataEmph" xfId="735"/>
    <cellStyle name="SAPBEXstdItem" xfId="736"/>
    <cellStyle name="SAPBEXstdItemX" xfId="737"/>
    <cellStyle name="SAPBEXtitle" xfId="738"/>
    <cellStyle name="SAPBEXundefined" xfId="739"/>
    <cellStyle name="Standaard_laroux" xfId="740"/>
    <cellStyle name="Style 1" xfId="741"/>
    <cellStyle name="Table Heading" xfId="742"/>
    <cellStyle name="Title" xfId="743"/>
    <cellStyle name="Total" xfId="744"/>
    <cellStyle name="Total 2" xfId="1695"/>
    <cellStyle name="Valiotsikko" xfId="745"/>
    <cellStyle name="Valiotsikko 2" xfId="1696"/>
    <cellStyle name="Valuta [0]_laroux" xfId="746"/>
    <cellStyle name="Valuta_laroux" xfId="747"/>
    <cellStyle name="Virgulă_Macheta buget" xfId="748"/>
    <cellStyle name="Vдliotsikko" xfId="749"/>
    <cellStyle name="Vдliotsikko 2" xfId="1697"/>
    <cellStyle name="Warning Text" xfId="750"/>
    <cellStyle name="Акцент1 2" xfId="751"/>
    <cellStyle name="Акцент1 2 2" xfId="752"/>
    <cellStyle name="Акцент1 3" xfId="753"/>
    <cellStyle name="Акцент1 3 2" xfId="754"/>
    <cellStyle name="Акцент1 4" xfId="755"/>
    <cellStyle name="Акцент1 4 2" xfId="756"/>
    <cellStyle name="Акцент1 5" xfId="757"/>
    <cellStyle name="Акцент1 5 2" xfId="758"/>
    <cellStyle name="Акцент1 6" xfId="759"/>
    <cellStyle name="Акцент1 6 2" xfId="760"/>
    <cellStyle name="Акцент1 7" xfId="761"/>
    <cellStyle name="Акцент1 7 2" xfId="762"/>
    <cellStyle name="Акцент1 8" xfId="763"/>
    <cellStyle name="Акцент1 8 2" xfId="764"/>
    <cellStyle name="Акцент1 9" xfId="765"/>
    <cellStyle name="Акцент1 9 2" xfId="766"/>
    <cellStyle name="Акцент2 2" xfId="767"/>
    <cellStyle name="Акцент2 2 2" xfId="768"/>
    <cellStyle name="Акцент2 3" xfId="769"/>
    <cellStyle name="Акцент2 3 2" xfId="770"/>
    <cellStyle name="Акцент2 4" xfId="771"/>
    <cellStyle name="Акцент2 4 2" xfId="772"/>
    <cellStyle name="Акцент2 5" xfId="773"/>
    <cellStyle name="Акцент2 5 2" xfId="774"/>
    <cellStyle name="Акцент2 6" xfId="775"/>
    <cellStyle name="Акцент2 6 2" xfId="776"/>
    <cellStyle name="Акцент2 7" xfId="777"/>
    <cellStyle name="Акцент2 7 2" xfId="778"/>
    <cellStyle name="Акцент2 8" xfId="779"/>
    <cellStyle name="Акцент2 8 2" xfId="780"/>
    <cellStyle name="Акцент2 9" xfId="781"/>
    <cellStyle name="Акцент2 9 2" xfId="782"/>
    <cellStyle name="Акцент3 2" xfId="783"/>
    <cellStyle name="Акцент3 2 2" xfId="784"/>
    <cellStyle name="Акцент3 3" xfId="785"/>
    <cellStyle name="Акцент3 3 2" xfId="786"/>
    <cellStyle name="Акцент3 4" xfId="787"/>
    <cellStyle name="Акцент3 4 2" xfId="788"/>
    <cellStyle name="Акцент3 5" xfId="789"/>
    <cellStyle name="Акцент3 5 2" xfId="790"/>
    <cellStyle name="Акцент3 6" xfId="791"/>
    <cellStyle name="Акцент3 6 2" xfId="792"/>
    <cellStyle name="Акцент3 7" xfId="793"/>
    <cellStyle name="Акцент3 7 2" xfId="794"/>
    <cellStyle name="Акцент3 8" xfId="795"/>
    <cellStyle name="Акцент3 8 2" xfId="796"/>
    <cellStyle name="Акцент3 9" xfId="797"/>
    <cellStyle name="Акцент3 9 2" xfId="798"/>
    <cellStyle name="Акцент4 2" xfId="799"/>
    <cellStyle name="Акцент4 2 2" xfId="800"/>
    <cellStyle name="Акцент4 3" xfId="801"/>
    <cellStyle name="Акцент4 3 2" xfId="802"/>
    <cellStyle name="Акцент4 4" xfId="803"/>
    <cellStyle name="Акцент4 4 2" xfId="804"/>
    <cellStyle name="Акцент4 5" xfId="805"/>
    <cellStyle name="Акцент4 5 2" xfId="806"/>
    <cellStyle name="Акцент4 6" xfId="807"/>
    <cellStyle name="Акцент4 6 2" xfId="808"/>
    <cellStyle name="Акцент4 7" xfId="809"/>
    <cellStyle name="Акцент4 7 2" xfId="810"/>
    <cellStyle name="Акцент4 8" xfId="811"/>
    <cellStyle name="Акцент4 8 2" xfId="812"/>
    <cellStyle name="Акцент4 9" xfId="813"/>
    <cellStyle name="Акцент4 9 2" xfId="814"/>
    <cellStyle name="Акцент5 2" xfId="815"/>
    <cellStyle name="Акцент5 2 2" xfId="816"/>
    <cellStyle name="Акцент5 3" xfId="817"/>
    <cellStyle name="Акцент5 3 2" xfId="818"/>
    <cellStyle name="Акцент5 4" xfId="819"/>
    <cellStyle name="Акцент5 4 2" xfId="820"/>
    <cellStyle name="Акцент5 5" xfId="821"/>
    <cellStyle name="Акцент5 5 2" xfId="822"/>
    <cellStyle name="Акцент5 6" xfId="823"/>
    <cellStyle name="Акцент5 6 2" xfId="824"/>
    <cellStyle name="Акцент5 7" xfId="825"/>
    <cellStyle name="Акцент5 7 2" xfId="826"/>
    <cellStyle name="Акцент5 8" xfId="827"/>
    <cellStyle name="Акцент5 8 2" xfId="828"/>
    <cellStyle name="Акцент5 9" xfId="829"/>
    <cellStyle name="Акцент5 9 2" xfId="830"/>
    <cellStyle name="Акцент6 2" xfId="831"/>
    <cellStyle name="Акцент6 2 2" xfId="832"/>
    <cellStyle name="Акцент6 3" xfId="833"/>
    <cellStyle name="Акцент6 3 2" xfId="834"/>
    <cellStyle name="Акцент6 4" xfId="835"/>
    <cellStyle name="Акцент6 4 2" xfId="836"/>
    <cellStyle name="Акцент6 5" xfId="837"/>
    <cellStyle name="Акцент6 5 2" xfId="838"/>
    <cellStyle name="Акцент6 6" xfId="839"/>
    <cellStyle name="Акцент6 6 2" xfId="840"/>
    <cellStyle name="Акцент6 7" xfId="841"/>
    <cellStyle name="Акцент6 7 2" xfId="842"/>
    <cellStyle name="Акцент6 8" xfId="843"/>
    <cellStyle name="Акцент6 8 2" xfId="844"/>
    <cellStyle name="Акцент6 9" xfId="845"/>
    <cellStyle name="Акцент6 9 2" xfId="846"/>
    <cellStyle name="Беззащитный" xfId="847"/>
    <cellStyle name="Ввод  2" xfId="848"/>
    <cellStyle name="Ввод  2 2" xfId="849"/>
    <cellStyle name="Ввод  2_OREP.KU.2011.PLAN(v1.2)" xfId="850"/>
    <cellStyle name="Ввод  3" xfId="851"/>
    <cellStyle name="Ввод  3 2" xfId="852"/>
    <cellStyle name="Ввод  3_OREP.KU.2011.PLAN(v1.2)" xfId="853"/>
    <cellStyle name="Ввод  4" xfId="854"/>
    <cellStyle name="Ввод  4 2" xfId="855"/>
    <cellStyle name="Ввод  4_OREP.KU.2011.PLAN(v1.2)" xfId="856"/>
    <cellStyle name="Ввод  5" xfId="857"/>
    <cellStyle name="Ввод  5 2" xfId="858"/>
    <cellStyle name="Ввод  5_OREP.KU.2011.PLAN(v1.2)" xfId="859"/>
    <cellStyle name="Ввод  6" xfId="860"/>
    <cellStyle name="Ввод  6 2" xfId="861"/>
    <cellStyle name="Ввод  6_OREP.KU.2011.PLAN(v1.2)" xfId="862"/>
    <cellStyle name="Ввод  7" xfId="863"/>
    <cellStyle name="Ввод  7 2" xfId="864"/>
    <cellStyle name="Ввод  7_OREP.KU.2011.PLAN(v1.2)" xfId="865"/>
    <cellStyle name="Ввод  8" xfId="866"/>
    <cellStyle name="Ввод  8 2" xfId="867"/>
    <cellStyle name="Ввод  8_OREP.KU.2011.PLAN(v1.2)" xfId="868"/>
    <cellStyle name="Ввод  9" xfId="869"/>
    <cellStyle name="Ввод  9 2" xfId="870"/>
    <cellStyle name="Ввод  9_OREP.KU.2011.PLAN(v1.2)" xfId="871"/>
    <cellStyle name="Вывод 2" xfId="872"/>
    <cellStyle name="Вывод 2 2" xfId="873"/>
    <cellStyle name="Вывод 2_OREP.KU.2011.PLAN(v1.2)" xfId="874"/>
    <cellStyle name="Вывод 3" xfId="875"/>
    <cellStyle name="Вывод 3 2" xfId="876"/>
    <cellStyle name="Вывод 3_OREP.KU.2011.PLAN(v1.2)" xfId="877"/>
    <cellStyle name="Вывод 4" xfId="878"/>
    <cellStyle name="Вывод 4 2" xfId="879"/>
    <cellStyle name="Вывод 4_OREP.KU.2011.PLAN(v1.2)" xfId="880"/>
    <cellStyle name="Вывод 5" xfId="881"/>
    <cellStyle name="Вывод 5 2" xfId="882"/>
    <cellStyle name="Вывод 5_OREP.KU.2011.PLAN(v1.2)" xfId="883"/>
    <cellStyle name="Вывод 6" xfId="884"/>
    <cellStyle name="Вывод 6 2" xfId="885"/>
    <cellStyle name="Вывод 6_OREP.KU.2011.PLAN(v1.2)" xfId="886"/>
    <cellStyle name="Вывод 7" xfId="887"/>
    <cellStyle name="Вывод 7 2" xfId="888"/>
    <cellStyle name="Вывод 7_OREP.KU.2011.PLAN(v1.2)" xfId="889"/>
    <cellStyle name="Вывод 8" xfId="890"/>
    <cellStyle name="Вывод 8 2" xfId="891"/>
    <cellStyle name="Вывод 8_OREP.KU.2011.PLAN(v1.2)" xfId="892"/>
    <cellStyle name="Вывод 9" xfId="893"/>
    <cellStyle name="Вывод 9 2" xfId="894"/>
    <cellStyle name="Вывод 9_OREP.KU.2011.PLAN(v1.2)" xfId="895"/>
    <cellStyle name="Вычисление 2" xfId="896"/>
    <cellStyle name="Вычисление 2 2" xfId="897"/>
    <cellStyle name="Вычисление 2_OREP.KU.2011.PLAN(v1.2)" xfId="898"/>
    <cellStyle name="Вычисление 3" xfId="899"/>
    <cellStyle name="Вычисление 3 2" xfId="900"/>
    <cellStyle name="Вычисление 3_OREP.KU.2011.PLAN(v1.2)" xfId="901"/>
    <cellStyle name="Вычисление 4" xfId="902"/>
    <cellStyle name="Вычисление 4 2" xfId="903"/>
    <cellStyle name="Вычисление 4_OREP.KU.2011.PLAN(v1.2)" xfId="904"/>
    <cellStyle name="Вычисление 5" xfId="905"/>
    <cellStyle name="Вычисление 5 2" xfId="906"/>
    <cellStyle name="Вычисление 5_OREP.KU.2011.PLAN(v1.2)" xfId="907"/>
    <cellStyle name="Вычисление 6" xfId="908"/>
    <cellStyle name="Вычисление 6 2" xfId="909"/>
    <cellStyle name="Вычисление 6_OREP.KU.2011.PLAN(v1.2)" xfId="910"/>
    <cellStyle name="Вычисление 7" xfId="911"/>
    <cellStyle name="Вычисление 7 2" xfId="912"/>
    <cellStyle name="Вычисление 7_OREP.KU.2011.PLAN(v1.2)" xfId="913"/>
    <cellStyle name="Вычисление 8" xfId="914"/>
    <cellStyle name="Вычисление 8 2" xfId="915"/>
    <cellStyle name="Вычисление 8_OREP.KU.2011.PLAN(v1.2)" xfId="916"/>
    <cellStyle name="Вычисление 9" xfId="917"/>
    <cellStyle name="Вычисление 9 2" xfId="918"/>
    <cellStyle name="Вычисление 9_OREP.KU.2011.PLAN(v1.2)" xfId="919"/>
    <cellStyle name="Гиперссылка 2" xfId="920"/>
    <cellStyle name="Гиперссылка 3" xfId="921"/>
    <cellStyle name="ДАТА" xfId="922"/>
    <cellStyle name="ДАТА 2" xfId="923"/>
    <cellStyle name="ДАТА 3" xfId="924"/>
    <cellStyle name="ДАТА 4" xfId="925"/>
    <cellStyle name="ДАТА 5" xfId="926"/>
    <cellStyle name="ДАТА 6" xfId="927"/>
    <cellStyle name="ДАТА 7" xfId="928"/>
    <cellStyle name="ДАТА 8" xfId="929"/>
    <cellStyle name="ДАТА_1" xfId="930"/>
    <cellStyle name="Денежный" xfId="931" builtinId="4"/>
    <cellStyle name="Денежный 2" xfId="932"/>
    <cellStyle name="Заголовок" xfId="933"/>
    <cellStyle name="Заголовок 1 2" xfId="934"/>
    <cellStyle name="Заголовок 1 2 2" xfId="935"/>
    <cellStyle name="Заголовок 1 2_OREP.KU.2011.PLAN(v1.2)" xfId="936"/>
    <cellStyle name="Заголовок 1 3" xfId="937"/>
    <cellStyle name="Заголовок 1 3 2" xfId="938"/>
    <cellStyle name="Заголовок 1 3_OREP.KU.2011.PLAN(v1.2)" xfId="939"/>
    <cellStyle name="Заголовок 1 4" xfId="940"/>
    <cellStyle name="Заголовок 1 4 2" xfId="941"/>
    <cellStyle name="Заголовок 1 4_OREP.KU.2011.PLAN(v1.2)" xfId="942"/>
    <cellStyle name="Заголовок 1 5" xfId="943"/>
    <cellStyle name="Заголовок 1 5 2" xfId="944"/>
    <cellStyle name="Заголовок 1 5_OREP.KU.2011.PLAN(v1.2)" xfId="945"/>
    <cellStyle name="Заголовок 1 6" xfId="946"/>
    <cellStyle name="Заголовок 1 6 2" xfId="947"/>
    <cellStyle name="Заголовок 1 6_OREP.KU.2011.PLAN(v1.2)" xfId="948"/>
    <cellStyle name="Заголовок 1 7" xfId="949"/>
    <cellStyle name="Заголовок 1 7 2" xfId="950"/>
    <cellStyle name="Заголовок 1 7_OREP.KU.2011.PLAN(v1.2)" xfId="951"/>
    <cellStyle name="Заголовок 1 8" xfId="952"/>
    <cellStyle name="Заголовок 1 8 2" xfId="953"/>
    <cellStyle name="Заголовок 1 8_OREP.KU.2011.PLAN(v1.2)" xfId="954"/>
    <cellStyle name="Заголовок 1 9" xfId="955"/>
    <cellStyle name="Заголовок 1 9 2" xfId="956"/>
    <cellStyle name="Заголовок 1 9_OREP.KU.2011.PLAN(v1.2)" xfId="957"/>
    <cellStyle name="Заголовок 2 2" xfId="958"/>
    <cellStyle name="Заголовок 2 2 2" xfId="959"/>
    <cellStyle name="Заголовок 2 2_OREP.KU.2011.PLAN(v1.2)" xfId="960"/>
    <cellStyle name="Заголовок 2 3" xfId="961"/>
    <cellStyle name="Заголовок 2 3 2" xfId="962"/>
    <cellStyle name="Заголовок 2 3_OREP.KU.2011.PLAN(v1.2)" xfId="963"/>
    <cellStyle name="Заголовок 2 4" xfId="964"/>
    <cellStyle name="Заголовок 2 4 2" xfId="965"/>
    <cellStyle name="Заголовок 2 4_OREP.KU.2011.PLAN(v1.2)" xfId="966"/>
    <cellStyle name="Заголовок 2 5" xfId="967"/>
    <cellStyle name="Заголовок 2 5 2" xfId="968"/>
    <cellStyle name="Заголовок 2 5_OREP.KU.2011.PLAN(v1.2)" xfId="969"/>
    <cellStyle name="Заголовок 2 6" xfId="970"/>
    <cellStyle name="Заголовок 2 6 2" xfId="971"/>
    <cellStyle name="Заголовок 2 6_OREP.KU.2011.PLAN(v1.2)" xfId="972"/>
    <cellStyle name="Заголовок 2 7" xfId="973"/>
    <cellStyle name="Заголовок 2 7 2" xfId="974"/>
    <cellStyle name="Заголовок 2 7_OREP.KU.2011.PLAN(v1.2)" xfId="975"/>
    <cellStyle name="Заголовок 2 8" xfId="976"/>
    <cellStyle name="Заголовок 2 8 2" xfId="977"/>
    <cellStyle name="Заголовок 2 8_OREP.KU.2011.PLAN(v1.2)" xfId="978"/>
    <cellStyle name="Заголовок 2 9" xfId="979"/>
    <cellStyle name="Заголовок 2 9 2" xfId="980"/>
    <cellStyle name="Заголовок 2 9_OREP.KU.2011.PLAN(v1.2)" xfId="981"/>
    <cellStyle name="Заголовок 3 2" xfId="982"/>
    <cellStyle name="Заголовок 3 2 2" xfId="983"/>
    <cellStyle name="Заголовок 3 2_OREP.KU.2011.PLAN(v1.2)" xfId="984"/>
    <cellStyle name="Заголовок 3 3" xfId="985"/>
    <cellStyle name="Заголовок 3 3 2" xfId="986"/>
    <cellStyle name="Заголовок 3 3_OREP.KU.2011.PLAN(v1.2)" xfId="987"/>
    <cellStyle name="Заголовок 3 4" xfId="988"/>
    <cellStyle name="Заголовок 3 4 2" xfId="989"/>
    <cellStyle name="Заголовок 3 4_OREP.KU.2011.PLAN(v1.2)" xfId="990"/>
    <cellStyle name="Заголовок 3 5" xfId="991"/>
    <cellStyle name="Заголовок 3 5 2" xfId="992"/>
    <cellStyle name="Заголовок 3 5_OREP.KU.2011.PLAN(v1.2)" xfId="993"/>
    <cellStyle name="Заголовок 3 6" xfId="994"/>
    <cellStyle name="Заголовок 3 6 2" xfId="995"/>
    <cellStyle name="Заголовок 3 6_OREP.KU.2011.PLAN(v1.2)" xfId="996"/>
    <cellStyle name="Заголовок 3 7" xfId="997"/>
    <cellStyle name="Заголовок 3 7 2" xfId="998"/>
    <cellStyle name="Заголовок 3 7_OREP.KU.2011.PLAN(v1.2)" xfId="999"/>
    <cellStyle name="Заголовок 3 8" xfId="1000"/>
    <cellStyle name="Заголовок 3 8 2" xfId="1001"/>
    <cellStyle name="Заголовок 3 8_OREP.KU.2011.PLAN(v1.2)" xfId="1002"/>
    <cellStyle name="Заголовок 3 9" xfId="1003"/>
    <cellStyle name="Заголовок 3 9 2" xfId="1004"/>
    <cellStyle name="Заголовок 3 9_OREP.KU.2011.PLAN(v1.2)" xfId="1005"/>
    <cellStyle name="Заголовок 4 2" xfId="1006"/>
    <cellStyle name="Заголовок 4 2 2" xfId="1007"/>
    <cellStyle name="Заголовок 4 3" xfId="1008"/>
    <cellStyle name="Заголовок 4 3 2" xfId="1009"/>
    <cellStyle name="Заголовок 4 4" xfId="1010"/>
    <cellStyle name="Заголовок 4 4 2" xfId="1011"/>
    <cellStyle name="Заголовок 4 5" xfId="1012"/>
    <cellStyle name="Заголовок 4 5 2" xfId="1013"/>
    <cellStyle name="Заголовок 4 6" xfId="1014"/>
    <cellStyle name="Заголовок 4 6 2" xfId="1015"/>
    <cellStyle name="Заголовок 4 7" xfId="1016"/>
    <cellStyle name="Заголовок 4 7 2" xfId="1017"/>
    <cellStyle name="Заголовок 4 8" xfId="1018"/>
    <cellStyle name="Заголовок 4 8 2" xfId="1019"/>
    <cellStyle name="Заголовок 4 9" xfId="1020"/>
    <cellStyle name="Заголовок 4 9 2" xfId="1021"/>
    <cellStyle name="Заголовок 5" xfId="1022"/>
    <cellStyle name="ЗАГОЛОВОК1" xfId="1023"/>
    <cellStyle name="ЗАГОЛОВОК2" xfId="1024"/>
    <cellStyle name="ЗаголовокСтолбца" xfId="1025"/>
    <cellStyle name="Защитный" xfId="1026"/>
    <cellStyle name="Значение" xfId="1027"/>
    <cellStyle name="Зоголовок" xfId="1028"/>
    <cellStyle name="Итог 2" xfId="1029"/>
    <cellStyle name="Итог 2 2" xfId="1030"/>
    <cellStyle name="Итог 2_OREP.KU.2011.PLAN(v1.2)" xfId="1031"/>
    <cellStyle name="Итог 3" xfId="1032"/>
    <cellStyle name="Итог 3 2" xfId="1033"/>
    <cellStyle name="Итог 3_OREP.KU.2011.PLAN(v1.2)" xfId="1034"/>
    <cellStyle name="Итог 4" xfId="1035"/>
    <cellStyle name="Итог 4 2" xfId="1036"/>
    <cellStyle name="Итог 4_OREP.KU.2011.PLAN(v1.2)" xfId="1037"/>
    <cellStyle name="Итог 5" xfId="1038"/>
    <cellStyle name="Итог 5 2" xfId="1039"/>
    <cellStyle name="Итог 5_OREP.KU.2011.PLAN(v1.2)" xfId="1040"/>
    <cellStyle name="Итог 6" xfId="1041"/>
    <cellStyle name="Итог 6 2" xfId="1042"/>
    <cellStyle name="Итог 6_OREP.KU.2011.PLAN(v1.2)" xfId="1043"/>
    <cellStyle name="Итог 7" xfId="1044"/>
    <cellStyle name="Итог 7 2" xfId="1045"/>
    <cellStyle name="Итог 7_OREP.KU.2011.PLAN(v1.2)" xfId="1046"/>
    <cellStyle name="Итог 8" xfId="1047"/>
    <cellStyle name="Итог 8 2" xfId="1048"/>
    <cellStyle name="Итог 8_OREP.KU.2011.PLAN(v1.2)" xfId="1049"/>
    <cellStyle name="Итог 9" xfId="1050"/>
    <cellStyle name="Итог 9 2" xfId="1051"/>
    <cellStyle name="Итог 9_OREP.KU.2011.PLAN(v1.2)" xfId="1052"/>
    <cellStyle name="Итого" xfId="1053"/>
    <cellStyle name="ИТОГОВЫЙ" xfId="1054"/>
    <cellStyle name="ИТОГОВЫЙ 2" xfId="1055"/>
    <cellStyle name="ИТОГОВЫЙ 3" xfId="1056"/>
    <cellStyle name="ИТОГОВЫЙ 4" xfId="1057"/>
    <cellStyle name="ИТОГОВЫЙ 5" xfId="1058"/>
    <cellStyle name="ИТОГОВЫЙ 6" xfId="1059"/>
    <cellStyle name="ИТОГОВЫЙ 7" xfId="1060"/>
    <cellStyle name="ИТОГОВЫЙ 8" xfId="1061"/>
    <cellStyle name="ИТОГОВЫЙ_1" xfId="1062"/>
    <cellStyle name="Контрольная ячейка 2" xfId="1063"/>
    <cellStyle name="Контрольная ячейка 2 2" xfId="1064"/>
    <cellStyle name="Контрольная ячейка 2_OREP.KU.2011.PLAN(v1.2)" xfId="1065"/>
    <cellStyle name="Контрольная ячейка 3" xfId="1066"/>
    <cellStyle name="Контрольная ячейка 3 2" xfId="1067"/>
    <cellStyle name="Контрольная ячейка 3_OREP.KU.2011.PLAN(v1.2)" xfId="1068"/>
    <cellStyle name="Контрольная ячейка 4" xfId="1069"/>
    <cellStyle name="Контрольная ячейка 4 2" xfId="1070"/>
    <cellStyle name="Контрольная ячейка 4_OREP.KU.2011.PLAN(v1.2)" xfId="1071"/>
    <cellStyle name="Контрольная ячейка 5" xfId="1072"/>
    <cellStyle name="Контрольная ячейка 5 2" xfId="1073"/>
    <cellStyle name="Контрольная ячейка 5_OREP.KU.2011.PLAN(v1.2)" xfId="1074"/>
    <cellStyle name="Контрольная ячейка 6" xfId="1075"/>
    <cellStyle name="Контрольная ячейка 6 2" xfId="1076"/>
    <cellStyle name="Контрольная ячейка 6_OREP.KU.2011.PLAN(v1.2)" xfId="1077"/>
    <cellStyle name="Контрольная ячейка 7" xfId="1078"/>
    <cellStyle name="Контрольная ячейка 7 2" xfId="1079"/>
    <cellStyle name="Контрольная ячейка 7_OREP.KU.2011.PLAN(v1.2)" xfId="1080"/>
    <cellStyle name="Контрольная ячейка 8" xfId="1081"/>
    <cellStyle name="Контрольная ячейка 8 2" xfId="1082"/>
    <cellStyle name="Контрольная ячейка 8_OREP.KU.2011.PLAN(v1.2)" xfId="1083"/>
    <cellStyle name="Контрольная ячейка 9" xfId="1084"/>
    <cellStyle name="Контрольная ячейка 9 2" xfId="1085"/>
    <cellStyle name="Контрольная ячейка 9_OREP.KU.2011.PLAN(v1.2)" xfId="1086"/>
    <cellStyle name="Мбычный_Регламент 2000 проект1" xfId="1087"/>
    <cellStyle name="Мой заголовок" xfId="1135"/>
    <cellStyle name="Мой заголовок листа" xfId="1136"/>
    <cellStyle name="Мои наименования показателей" xfId="1088"/>
    <cellStyle name="Мои наименования показателей 2" xfId="1089"/>
    <cellStyle name="Мои наименования показателей 2 2" xfId="1090"/>
    <cellStyle name="Мои наименования показателей 2 3" xfId="1091"/>
    <cellStyle name="Мои наименования показателей 2 4" xfId="1092"/>
    <cellStyle name="Мои наименования показателей 2 5" xfId="1093"/>
    <cellStyle name="Мои наименования показателей 2 6" xfId="1094"/>
    <cellStyle name="Мои наименования показателей 2 7" xfId="1095"/>
    <cellStyle name="Мои наименования показателей 2 8" xfId="1096"/>
    <cellStyle name="Мои наименования показателей 2_1" xfId="1097"/>
    <cellStyle name="Мои наименования показателей 3" xfId="1098"/>
    <cellStyle name="Мои наименования показателей 3 2" xfId="1099"/>
    <cellStyle name="Мои наименования показателей 3 3" xfId="1100"/>
    <cellStyle name="Мои наименования показателей 3 4" xfId="1101"/>
    <cellStyle name="Мои наименования показателей 3 5" xfId="1102"/>
    <cellStyle name="Мои наименования показателей 3 6" xfId="1103"/>
    <cellStyle name="Мои наименования показателей 3 7" xfId="1104"/>
    <cellStyle name="Мои наименования показателей 3 8" xfId="1105"/>
    <cellStyle name="Мои наименования показателей 3_1" xfId="1106"/>
    <cellStyle name="Мои наименования показателей 4" xfId="1107"/>
    <cellStyle name="Мои наименования показателей 4 2" xfId="1108"/>
    <cellStyle name="Мои наименования показателей 4 3" xfId="1109"/>
    <cellStyle name="Мои наименования показателей 4 4" xfId="1110"/>
    <cellStyle name="Мои наименования показателей 4 5" xfId="1111"/>
    <cellStyle name="Мои наименования показателей 4 6" xfId="1112"/>
    <cellStyle name="Мои наименования показателей 4 7" xfId="1113"/>
    <cellStyle name="Мои наименования показателей 4 8" xfId="1114"/>
    <cellStyle name="Мои наименования показателей 4_1" xfId="1115"/>
    <cellStyle name="Мои наименования показателей 5" xfId="1116"/>
    <cellStyle name="Мои наименования показателей 5 2" xfId="1117"/>
    <cellStyle name="Мои наименования показателей 5 3" xfId="1118"/>
    <cellStyle name="Мои наименования показателей 5 4" xfId="1119"/>
    <cellStyle name="Мои наименования показателей 5 5" xfId="1120"/>
    <cellStyle name="Мои наименования показателей 5 6" xfId="1121"/>
    <cellStyle name="Мои наименования показателей 5 7" xfId="1122"/>
    <cellStyle name="Мои наименования показателей 5 8" xfId="1123"/>
    <cellStyle name="Мои наименования показателей 5_1" xfId="1124"/>
    <cellStyle name="Мои наименования показателей 6" xfId="1125"/>
    <cellStyle name="Мои наименования показателей 6 2" xfId="1126"/>
    <cellStyle name="Мои наименования показателей 6_TSET.NET.2.02" xfId="1127"/>
    <cellStyle name="Мои наименования показателей 7" xfId="1128"/>
    <cellStyle name="Мои наименования показателей 7 2" xfId="1129"/>
    <cellStyle name="Мои наименования показателей 7_TSET.NET.2.02" xfId="1130"/>
    <cellStyle name="Мои наименования показателей 8" xfId="1131"/>
    <cellStyle name="Мои наименования показателей 8 2" xfId="1132"/>
    <cellStyle name="Мои наименования показателей 8_TSET.NET.2.02" xfId="1133"/>
    <cellStyle name="Мои наименования показателей_46TE.RT(v1.0)" xfId="1134"/>
    <cellStyle name="назв фил" xfId="1137"/>
    <cellStyle name="Название 2" xfId="1138"/>
    <cellStyle name="Название 2 2" xfId="1139"/>
    <cellStyle name="Название 3" xfId="1140"/>
    <cellStyle name="Название 3 2" xfId="1141"/>
    <cellStyle name="Название 4" xfId="1142"/>
    <cellStyle name="Название 4 2" xfId="1143"/>
    <cellStyle name="Название 5" xfId="1144"/>
    <cellStyle name="Название 5 2" xfId="1145"/>
    <cellStyle name="Название 6" xfId="1146"/>
    <cellStyle name="Название 6 2" xfId="1147"/>
    <cellStyle name="Название 7" xfId="1148"/>
    <cellStyle name="Название 7 2" xfId="1149"/>
    <cellStyle name="Название 8" xfId="1150"/>
    <cellStyle name="Название 8 2" xfId="1151"/>
    <cellStyle name="Название 9" xfId="1152"/>
    <cellStyle name="Название 9 2" xfId="1153"/>
    <cellStyle name="Нейтральный 2" xfId="1154"/>
    <cellStyle name="Нейтральный 2 2" xfId="1155"/>
    <cellStyle name="Нейтральный 3" xfId="1156"/>
    <cellStyle name="Нейтральный 3 2" xfId="1157"/>
    <cellStyle name="Нейтральный 4" xfId="1158"/>
    <cellStyle name="Нейтральный 4 2" xfId="1159"/>
    <cellStyle name="Нейтральный 5" xfId="1160"/>
    <cellStyle name="Нейтральный 5 2" xfId="1161"/>
    <cellStyle name="Нейтральный 6" xfId="1162"/>
    <cellStyle name="Нейтральный 6 2" xfId="1163"/>
    <cellStyle name="Нейтральный 7" xfId="1164"/>
    <cellStyle name="Нейтральный 7 2" xfId="1165"/>
    <cellStyle name="Нейтральный 8" xfId="1166"/>
    <cellStyle name="Нейтральный 8 2" xfId="1167"/>
    <cellStyle name="Нейтральный 9" xfId="1168"/>
    <cellStyle name="Нейтральный 9 2" xfId="1169"/>
    <cellStyle name="Обычный" xfId="0" builtinId="0"/>
    <cellStyle name="Обычный 10" xfId="1170"/>
    <cellStyle name="Обычный 11" xfId="1171"/>
    <cellStyle name="Обычный 12" xfId="1172"/>
    <cellStyle name="Обычный 12 2" xfId="1173"/>
    <cellStyle name="Обычный 13" xfId="1698"/>
    <cellStyle name="Обычный 13 2" xfId="1699"/>
    <cellStyle name="Обычный 14" xfId="1174"/>
    <cellStyle name="Обычный 14 2" xfId="1435"/>
    <cellStyle name="Обычный 15" xfId="1700"/>
    <cellStyle name="Обычный 2" xfId="1175"/>
    <cellStyle name="Обычный 2 2" xfId="1176"/>
    <cellStyle name="Обычный 2 2 10" xfId="1177"/>
    <cellStyle name="Обычный 2 2 2" xfId="1178"/>
    <cellStyle name="Обычный 2 2 2 2" xfId="1179"/>
    <cellStyle name="Обычный 2 2 2 2 2" xfId="1429"/>
    <cellStyle name="Обычный 2 2 2 3" xfId="1430"/>
    <cellStyle name="Обычный 2 2 2_23.04.12 на 2013 г РЭС Таблицы по передаче эл. энергии " xfId="1701"/>
    <cellStyle name="Обычный 2 2 3" xfId="1702"/>
    <cellStyle name="Обычный 2 2_BALANCE.WARM.2011YEAR.NEW.UPDATE.SCHEME" xfId="1180"/>
    <cellStyle name="Обычный 2 3" xfId="1181"/>
    <cellStyle name="Обычный 2 3 2" xfId="1182"/>
    <cellStyle name="Обычный 2 3 3" xfId="1433"/>
    <cellStyle name="Обычный 2 3_23.04.12 на 2013 г РЭС Таблицы по передаче эл. энергии " xfId="1703"/>
    <cellStyle name="Обычный 2 4" xfId="1183"/>
    <cellStyle name="Обычный 2 4 2" xfId="1184"/>
    <cellStyle name="Обычный 2 4_BALANCE.WARM.2011YEAR.NEW.UPDATE.SCHEME" xfId="1185"/>
    <cellStyle name="Обычный 2 5" xfId="1186"/>
    <cellStyle name="Обычный 2 5 2" xfId="1187"/>
    <cellStyle name="Обычный 2 5_BALANCE.WARM.2011YEAR.NEW.UPDATE.SCHEME" xfId="1188"/>
    <cellStyle name="Обычный 2 6" xfId="1189"/>
    <cellStyle name="Обычный 2 6 2" xfId="1190"/>
    <cellStyle name="Обычный 2 6_BALANCE.WARM.2011YEAR.NEW.UPDATE.SCHEME" xfId="1191"/>
    <cellStyle name="Обычный 2 7" xfId="1192"/>
    <cellStyle name="Обычный 2 8" xfId="1704"/>
    <cellStyle name="Обычный 2_1" xfId="1193"/>
    <cellStyle name="Обычный 2_НВВ - сети долгосрочный (15.07) - передано на оформление 2" xfId="1194"/>
    <cellStyle name="Обычный 3" xfId="1195"/>
    <cellStyle name="Обычный 3 2" xfId="1196"/>
    <cellStyle name="Обычный 3 3" xfId="1197"/>
    <cellStyle name="Обычный 3_17.11.10_ТАРИФ ТЕПЛО 2010г_СамРЭК" xfId="1705"/>
    <cellStyle name="Обычный 4" xfId="1198"/>
    <cellStyle name="Обычный 4 2" xfId="1199"/>
    <cellStyle name="Обычный 4_EE.20.MET.SVOD.2.73_v0.1" xfId="1200"/>
    <cellStyle name="Обычный 5" xfId="1201"/>
    <cellStyle name="Обычный 5 2" xfId="1202"/>
    <cellStyle name="Обычный 5_17.11.10_ТАРИФ ТЕПЛО 2010г_СамРЭК" xfId="1706"/>
    <cellStyle name="Обычный 6" xfId="1203"/>
    <cellStyle name="Обычный 7" xfId="1204"/>
    <cellStyle name="Обычный 8" xfId="1205"/>
    <cellStyle name="Обычный 8 2" xfId="1431"/>
    <cellStyle name="Обычный 8 2 2" xfId="1434"/>
    <cellStyle name="Обычный 9" xfId="1206"/>
    <cellStyle name="Обычный_двухставочн хворостянка 2" xfId="1207"/>
    <cellStyle name="Обычный_др. р 2" xfId="1208"/>
    <cellStyle name="Обычный_Общехозяйственные расходы СМВ" xfId="1209"/>
    <cellStyle name="Обычный_Приложения к договору" xfId="1210"/>
    <cellStyle name="Обычный_Сведения об отпуске (передаче) электроэнергии потребителям распределительными сетевыми организациями" xfId="1211"/>
    <cellStyle name="Обычный_тарифы на 2002г с 1-01" xfId="1427"/>
    <cellStyle name="Обычный_тарифы на 2002г с 1-01 2" xfId="1212"/>
    <cellStyle name="Обычный_Тепло" xfId="1213"/>
    <cellStyle name="Обычный_Тепло Самарское РНУ 2010 г." xfId="1214"/>
    <cellStyle name="Обычный_Факт.кальк.САМЕКО(11мес) (2)" xfId="1215"/>
    <cellStyle name="Обычный_Факт.кальк.САМЕКО(11мес) (2) 2" xfId="1216"/>
    <cellStyle name="Обычный_Эксперт Прометей" xfId="1217"/>
    <cellStyle name="Обычнын_Ф2.тыс.руб" xfId="1218"/>
    <cellStyle name="Плохой 2" xfId="1219"/>
    <cellStyle name="Плохой 2 2" xfId="1220"/>
    <cellStyle name="Плохой 3" xfId="1221"/>
    <cellStyle name="Плохой 3 2" xfId="1222"/>
    <cellStyle name="Плохой 4" xfId="1223"/>
    <cellStyle name="Плохой 4 2" xfId="1224"/>
    <cellStyle name="Плохой 5" xfId="1225"/>
    <cellStyle name="Плохой 5 2" xfId="1226"/>
    <cellStyle name="Плохой 6" xfId="1227"/>
    <cellStyle name="Плохой 6 2" xfId="1228"/>
    <cellStyle name="Плохой 7" xfId="1229"/>
    <cellStyle name="Плохой 7 2" xfId="1230"/>
    <cellStyle name="Плохой 8" xfId="1231"/>
    <cellStyle name="Плохой 8 2" xfId="1232"/>
    <cellStyle name="Плохой 9" xfId="1233"/>
    <cellStyle name="Плохой 9 2" xfId="1234"/>
    <cellStyle name="По центру с переносом" xfId="1235"/>
    <cellStyle name="По ширине с переносом" xfId="1236"/>
    <cellStyle name="Поле ввода" xfId="1237"/>
    <cellStyle name="Пояснение 2" xfId="1238"/>
    <cellStyle name="Пояснение 2 2" xfId="1239"/>
    <cellStyle name="Пояснение 3" xfId="1240"/>
    <cellStyle name="Пояснение 3 2" xfId="1241"/>
    <cellStyle name="Пояснение 4" xfId="1242"/>
    <cellStyle name="Пояснение 4 2" xfId="1243"/>
    <cellStyle name="Пояснение 5" xfId="1244"/>
    <cellStyle name="Пояснение 5 2" xfId="1245"/>
    <cellStyle name="Пояснение 6" xfId="1246"/>
    <cellStyle name="Пояснение 6 2" xfId="1247"/>
    <cellStyle name="Пояснение 7" xfId="1248"/>
    <cellStyle name="Пояснение 7 2" xfId="1249"/>
    <cellStyle name="Пояснение 8" xfId="1250"/>
    <cellStyle name="Пояснение 8 2" xfId="1251"/>
    <cellStyle name="Пояснение 9" xfId="1252"/>
    <cellStyle name="Пояснение 9 2" xfId="1253"/>
    <cellStyle name="Примечание 10" xfId="1254"/>
    <cellStyle name="Примечание 10 2" xfId="1255"/>
    <cellStyle name="Примечание 10_OREP.KU.2011.PLAN(v1.2)" xfId="1256"/>
    <cellStyle name="Примечание 11" xfId="1257"/>
    <cellStyle name="Примечание 11 2" xfId="1258"/>
    <cellStyle name="Примечание 11_OREP.KU.2011.PLAN(v1.2)" xfId="1259"/>
    <cellStyle name="Примечание 12" xfId="1260"/>
    <cellStyle name="Примечание 12 2" xfId="1261"/>
    <cellStyle name="Примечание 12_OREP.KU.2011.PLAN(v1.2)" xfId="1262"/>
    <cellStyle name="Примечание 2" xfId="1263"/>
    <cellStyle name="Примечание 2 2" xfId="1264"/>
    <cellStyle name="Примечание 2 3" xfId="1265"/>
    <cellStyle name="Примечание 2 4" xfId="1266"/>
    <cellStyle name="Примечание 2 5" xfId="1267"/>
    <cellStyle name="Примечание 2 6" xfId="1268"/>
    <cellStyle name="Примечание 2 7" xfId="1269"/>
    <cellStyle name="Примечание 2 8" xfId="1270"/>
    <cellStyle name="Примечание 2_OREP.KU.2011.PLAN(v1.0)" xfId="1271"/>
    <cellStyle name="Примечание 3" xfId="1272"/>
    <cellStyle name="Примечание 3 2" xfId="1273"/>
    <cellStyle name="Примечание 3 3" xfId="1274"/>
    <cellStyle name="Примечание 3 4" xfId="1275"/>
    <cellStyle name="Примечание 3 5" xfId="1276"/>
    <cellStyle name="Примечание 3 6" xfId="1277"/>
    <cellStyle name="Примечание 3 7" xfId="1278"/>
    <cellStyle name="Примечание 3 8" xfId="1279"/>
    <cellStyle name="Примечание 3_OREP.KU.2011.PLAN(v1.0)" xfId="1280"/>
    <cellStyle name="Примечание 4" xfId="1281"/>
    <cellStyle name="Примечание 4 2" xfId="1282"/>
    <cellStyle name="Примечание 4 3" xfId="1283"/>
    <cellStyle name="Примечание 4 4" xfId="1284"/>
    <cellStyle name="Примечание 4 5" xfId="1285"/>
    <cellStyle name="Примечание 4 6" xfId="1286"/>
    <cellStyle name="Примечание 4 7" xfId="1287"/>
    <cellStyle name="Примечание 4 8" xfId="1288"/>
    <cellStyle name="Примечание 4_OREP.KU.2011.PLAN(v1.0)" xfId="1289"/>
    <cellStyle name="Примечание 5" xfId="1290"/>
    <cellStyle name="Примечание 5 2" xfId="1291"/>
    <cellStyle name="Примечание 5 3" xfId="1292"/>
    <cellStyle name="Примечание 5 4" xfId="1293"/>
    <cellStyle name="Примечание 5 5" xfId="1294"/>
    <cellStyle name="Примечание 5 6" xfId="1295"/>
    <cellStyle name="Примечание 5 7" xfId="1296"/>
    <cellStyle name="Примечание 5 8" xfId="1297"/>
    <cellStyle name="Примечание 5_OREP.KU.2011.PLAN(v1.0)" xfId="1298"/>
    <cellStyle name="Примечание 6" xfId="1299"/>
    <cellStyle name="Примечание 6 2" xfId="1300"/>
    <cellStyle name="Примечание 6_OREP.KU.2011.PLAN(v1.2)" xfId="1301"/>
    <cellStyle name="Примечание 7" xfId="1302"/>
    <cellStyle name="Примечание 7 2" xfId="1303"/>
    <cellStyle name="Примечание 7_OREP.KU.2011.PLAN(v1.2)" xfId="1304"/>
    <cellStyle name="Примечание 8" xfId="1305"/>
    <cellStyle name="Примечание 8 2" xfId="1306"/>
    <cellStyle name="Примечание 8_OREP.KU.2011.PLAN(v1.2)" xfId="1307"/>
    <cellStyle name="Примечание 9" xfId="1308"/>
    <cellStyle name="Примечание 9 2" xfId="1309"/>
    <cellStyle name="Примечание 9_OREP.KU.2011.PLAN(v1.2)" xfId="1310"/>
    <cellStyle name="Процентный 10" xfId="1311"/>
    <cellStyle name="Процентный 2" xfId="1312"/>
    <cellStyle name="Процентный 2 2" xfId="1313"/>
    <cellStyle name="Процентный 2 3" xfId="1314"/>
    <cellStyle name="Процентный 3" xfId="1315"/>
    <cellStyle name="Процентный 4" xfId="1316"/>
    <cellStyle name="Процентный 5" xfId="1317"/>
    <cellStyle name="Процентный 5 2" xfId="1318"/>
    <cellStyle name="Процентный 5 3" xfId="1432"/>
    <cellStyle name="Процентный 9" xfId="1319"/>
    <cellStyle name="Связанная ячейка 2" xfId="1320"/>
    <cellStyle name="Связанная ячейка 2 2" xfId="1321"/>
    <cellStyle name="Связанная ячейка 2_OREP.KU.2011.PLAN(v1.2)" xfId="1322"/>
    <cellStyle name="Связанная ячейка 3" xfId="1323"/>
    <cellStyle name="Связанная ячейка 3 2" xfId="1324"/>
    <cellStyle name="Связанная ячейка 3_OREP.KU.2011.PLAN(v1.2)" xfId="1325"/>
    <cellStyle name="Связанная ячейка 4" xfId="1326"/>
    <cellStyle name="Связанная ячейка 4 2" xfId="1327"/>
    <cellStyle name="Связанная ячейка 4_OREP.KU.2011.PLAN(v1.2)" xfId="1328"/>
    <cellStyle name="Связанная ячейка 5" xfId="1329"/>
    <cellStyle name="Связанная ячейка 5 2" xfId="1330"/>
    <cellStyle name="Связанная ячейка 5_OREP.KU.2011.PLAN(v1.2)" xfId="1331"/>
    <cellStyle name="Связанная ячейка 6" xfId="1332"/>
    <cellStyle name="Связанная ячейка 6 2" xfId="1333"/>
    <cellStyle name="Связанная ячейка 6_OREP.KU.2011.PLAN(v1.2)" xfId="1334"/>
    <cellStyle name="Связанная ячейка 7" xfId="1335"/>
    <cellStyle name="Связанная ячейка 7 2" xfId="1336"/>
    <cellStyle name="Связанная ячейка 7_OREP.KU.2011.PLAN(v1.2)" xfId="1337"/>
    <cellStyle name="Связанная ячейка 8" xfId="1338"/>
    <cellStyle name="Связанная ячейка 8 2" xfId="1339"/>
    <cellStyle name="Связанная ячейка 8_OREP.KU.2011.PLAN(v1.2)" xfId="1340"/>
    <cellStyle name="Связанная ячейка 9" xfId="1341"/>
    <cellStyle name="Связанная ячейка 9 2" xfId="1342"/>
    <cellStyle name="Связанная ячейка 9_OREP.KU.2011.PLAN(v1.2)" xfId="1343"/>
    <cellStyle name="Стиль 1" xfId="1344"/>
    <cellStyle name="Стиль 1 2" xfId="1345"/>
    <cellStyle name="Стиль_названий" xfId="1346"/>
    <cellStyle name="Строка нечётная" xfId="1347"/>
    <cellStyle name="Строка нечётная 2" xfId="1707"/>
    <cellStyle name="Строка чётная" xfId="1348"/>
    <cellStyle name="Строка чётная 2" xfId="1708"/>
    <cellStyle name="ТЕКСТ" xfId="1349"/>
    <cellStyle name="ТЕКСТ 2" xfId="1350"/>
    <cellStyle name="ТЕКСТ 3" xfId="1351"/>
    <cellStyle name="ТЕКСТ 4" xfId="1352"/>
    <cellStyle name="ТЕКСТ 5" xfId="1353"/>
    <cellStyle name="ТЕКСТ 6" xfId="1354"/>
    <cellStyle name="ТЕКСТ 7" xfId="1355"/>
    <cellStyle name="ТЕКСТ 8" xfId="1356"/>
    <cellStyle name="Текст предупреждения 2" xfId="1357"/>
    <cellStyle name="Текст предупреждения 2 2" xfId="1358"/>
    <cellStyle name="Текст предупреждения 3" xfId="1359"/>
    <cellStyle name="Текст предупреждения 3 2" xfId="1360"/>
    <cellStyle name="Текст предупреждения 4" xfId="1361"/>
    <cellStyle name="Текст предупреждения 4 2" xfId="1362"/>
    <cellStyle name="Текст предупреждения 5" xfId="1363"/>
    <cellStyle name="Текст предупреждения 5 2" xfId="1364"/>
    <cellStyle name="Текст предупреждения 6" xfId="1365"/>
    <cellStyle name="Текст предупреждения 6 2" xfId="1366"/>
    <cellStyle name="Текст предупреждения 7" xfId="1367"/>
    <cellStyle name="Текст предупреждения 7 2" xfId="1368"/>
    <cellStyle name="Текст предупреждения 8" xfId="1369"/>
    <cellStyle name="Текст предупреждения 8 2" xfId="1370"/>
    <cellStyle name="Текст предупреждения 9" xfId="1371"/>
    <cellStyle name="Текст предупреждения 9 2" xfId="1372"/>
    <cellStyle name="Текстовый" xfId="1373"/>
    <cellStyle name="Текстовый 2" xfId="1374"/>
    <cellStyle name="Текстовый 3" xfId="1375"/>
    <cellStyle name="Текстовый 4" xfId="1376"/>
    <cellStyle name="Текстовый 5" xfId="1377"/>
    <cellStyle name="Текстовый 6" xfId="1378"/>
    <cellStyle name="Текстовый 7" xfId="1379"/>
    <cellStyle name="Текстовый 8" xfId="1380"/>
    <cellStyle name="Текстовый_1" xfId="1381"/>
    <cellStyle name="Тысячи [0]_22гк" xfId="1382"/>
    <cellStyle name="Тысячи [а]" xfId="1383"/>
    <cellStyle name="Тысячи_22гк" xfId="1384"/>
    <cellStyle name="ФИКСИРОВАННЫЙ" xfId="1385"/>
    <cellStyle name="ФИКСИРОВАННЫЙ 2" xfId="1386"/>
    <cellStyle name="ФИКСИРОВАННЫЙ 3" xfId="1387"/>
    <cellStyle name="ФИКСИРОВАННЫЙ 4" xfId="1388"/>
    <cellStyle name="ФИКСИРОВАННЫЙ 5" xfId="1389"/>
    <cellStyle name="ФИКСИРОВАННЫЙ 6" xfId="1390"/>
    <cellStyle name="ФИКСИРОВАННЫЙ 7" xfId="1391"/>
    <cellStyle name="ФИКСИРОВАННЫЙ 8" xfId="1392"/>
    <cellStyle name="ФИКСИРОВАННЫЙ_1" xfId="1393"/>
    <cellStyle name="Финансовый" xfId="1426" builtinId="3"/>
    <cellStyle name="Финансовый [0] 2" xfId="1709"/>
    <cellStyle name="Финансовый 2" xfId="1394"/>
    <cellStyle name="Финансовый 2 2" xfId="1395"/>
    <cellStyle name="Финансовый 2 2 2" xfId="1710"/>
    <cellStyle name="Финансовый 2 3" xfId="1396"/>
    <cellStyle name="Финансовый 2_BALANCE.WARM.2011YEAR.NEW.UPDATE.SCHEME" xfId="1397"/>
    <cellStyle name="Финансовый 3" xfId="1398"/>
    <cellStyle name="Финансовый 3 2" xfId="1399"/>
    <cellStyle name="Финансовый 4" xfId="1711"/>
    <cellStyle name="Финансовый 5" xfId="1712"/>
    <cellStyle name="Финансовый 5 2" xfId="1400"/>
    <cellStyle name="Финансовый 6" xfId="1401"/>
    <cellStyle name="Финансовый 7" xfId="1713"/>
    <cellStyle name="Формула" xfId="1402"/>
    <cellStyle name="Формула 2" xfId="1403"/>
    <cellStyle name="Формула_A РТ 2009 Рязаньэнерго" xfId="1404"/>
    <cellStyle name="ФормулаВБ" xfId="1405"/>
    <cellStyle name="ФормулаНаКонтроль" xfId="1406"/>
    <cellStyle name="Хороший 2" xfId="1407"/>
    <cellStyle name="Хороший 2 2" xfId="1408"/>
    <cellStyle name="Хороший 3" xfId="1409"/>
    <cellStyle name="Хороший 3 2" xfId="1410"/>
    <cellStyle name="Хороший 4" xfId="1411"/>
    <cellStyle name="Хороший 4 2" xfId="1412"/>
    <cellStyle name="Хороший 5" xfId="1413"/>
    <cellStyle name="Хороший 5 2" xfId="1414"/>
    <cellStyle name="Хороший 6" xfId="1415"/>
    <cellStyle name="Хороший 6 2" xfId="1416"/>
    <cellStyle name="Хороший 7" xfId="1417"/>
    <cellStyle name="Хороший 7 2" xfId="1418"/>
    <cellStyle name="Хороший 8" xfId="1419"/>
    <cellStyle name="Хороший 8 2" xfId="1420"/>
    <cellStyle name="Хороший 9" xfId="1421"/>
    <cellStyle name="Хороший 9 2" xfId="1422"/>
    <cellStyle name="Цифры по центру с десятыми" xfId="1423"/>
    <cellStyle name="Џђћ–…ќ’ќ›‰" xfId="1424"/>
    <cellStyle name="Џђћ–…ќ’ќ›‰ 2" xfId="1714"/>
    <cellStyle name="Џђћ–…ќ’ќ›‰ 3" xfId="1715"/>
    <cellStyle name="Шапка таблицы" xfId="1425"/>
  </cellStyles>
  <dxfs count="0"/>
  <tableStyles count="0" defaultTableStyle="TableStyleMedium9" defaultPivotStyle="PivotStyleLight16"/>
  <colors>
    <mruColors>
      <color rgb="FFCCFF33"/>
      <color rgb="FFFFFFCC"/>
      <color rgb="FFFF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4.xml"/><Relationship Id="rId76" Type="http://schemas.openxmlformats.org/officeDocument/2006/relationships/externalLink" Target="externalLinks/externalLink12.xml"/><Relationship Id="rId84" Type="http://schemas.openxmlformats.org/officeDocument/2006/relationships/externalLink" Target="externalLinks/externalLink20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2.xml"/><Relationship Id="rId74" Type="http://schemas.openxmlformats.org/officeDocument/2006/relationships/externalLink" Target="externalLinks/externalLink10.xml"/><Relationship Id="rId79" Type="http://schemas.openxmlformats.org/officeDocument/2006/relationships/externalLink" Target="externalLinks/externalLink15.xml"/><Relationship Id="rId8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18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5.xml"/><Relationship Id="rId77" Type="http://schemas.openxmlformats.org/officeDocument/2006/relationships/externalLink" Target="externalLinks/externalLink1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8.xml"/><Relationship Id="rId80" Type="http://schemas.openxmlformats.org/officeDocument/2006/relationships/externalLink" Target="externalLinks/externalLink16.xml"/><Relationship Id="rId85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6.xml"/><Relationship Id="rId75" Type="http://schemas.openxmlformats.org/officeDocument/2006/relationships/externalLink" Target="externalLinks/externalLink11.xml"/><Relationship Id="rId83" Type="http://schemas.openxmlformats.org/officeDocument/2006/relationships/externalLink" Target="externalLinks/externalLink19.xml"/><Relationship Id="rId88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externalLink" Target="externalLinks/externalLink1.xml"/><Relationship Id="rId73" Type="http://schemas.openxmlformats.org/officeDocument/2006/relationships/externalLink" Target="externalLinks/externalLink9.xml"/><Relationship Id="rId78" Type="http://schemas.openxmlformats.org/officeDocument/2006/relationships/externalLink" Target="externalLinks/externalLink14.xml"/><Relationship Id="rId81" Type="http://schemas.openxmlformats.org/officeDocument/2006/relationships/externalLink" Target="externalLinks/externalLink17.xml"/><Relationship Id="rId86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BUDGETU2/B(34)9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BUDGETU2\B(34)9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ritonova\&#1074;&#1093;&#1086;&#1076;&#1103;&#1097;&#1080;&#1077;\WINDOWS\TEMP\BUDGETU2\B(34)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2042/&#1052;&#1086;&#1080;%20&#1076;&#1086;&#1082;&#1091;&#1084;&#1077;&#1085;&#1090;&#1099;/&#1053;&#1086;&#1074;&#1072;&#1103;%20&#1087;&#1072;&#1087;&#1082;&#1072;%20(2)/&#1069;&#1083;&#1077;&#1082;&#1090;&#1088;&#1080;&#1082;&#1072;/&#1055;&#1088;&#1080;&#1082;&#1072;&#1079;&#1099;%20&#1052;&#1069;%20&#1080;%20&#1046;&#1050;&#1061;%202011-2012/&#1044;&#1086;&#1083;&#1075;&#1086;&#1089;&#1090;&#1088;&#1086;&#1081;%20&#1092;&#1086;&#1088;&#1084;&#1072;&#1090;%20&#1060;&#1057;&#1058;%20&#1059;&#1083;&#1100;&#1103;&#1085;&#1086;&#1074;&#1089;&#1082;/KOTEL.CALC.NVV.NET.2.73(v4.0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TR-BEREZOVSKY\Documents%20and%20Settings\56465\&#1056;&#1072;&#1073;&#1086;&#1095;&#1080;&#1081;%20&#1089;&#1090;&#1086;&#1083;\&#1040;&#1042;&#1048;&#1040;\&#1053;&#1059;&#1056;\&#1040;&#1074;&#1080;&#1072;&#1089;&#1087;&#1077;&#1094;&#1084;&#1086;&#1085;&#1090;&#1072;&#1078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70;&#1075;-&#1057;&#1077;&#1090;&#1080;/&#1074;&#1086;&#1076;&#1072;%20&#1080;%20&#1090;&#1077;&#1087;&#1083;&#1086;/&#1070;&#1075;_&#1089;&#1077;&#1090;&#1080;_2017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1040;&#1076;&#1084;&#1080;&#1085;&#1080;&#1089;&#1090;&#1088;&#1072;&#1090;&#1086;&#1088;/&#1042;&#1089;&#1105;%20&#1095;&#1090;&#1086;%20&#1077;&#1089;&#1090;&#1100;/&#1056;&#1040;&#1041;&#1054;&#1058;&#1040;/&#1042;&#1041;&#1052;%20&#1090;&#1077;&#1087;&#1083;&#1086;/Documents%20and%20Settings/nagimova/&#1052;&#1086;&#1080;%20&#1076;&#1086;&#1082;&#1091;&#1084;&#1077;&#1085;&#1090;&#1099;/&#1058;&#1072;&#1088;&#1080;&#1092;&#1099;/&#1058;&#1040;&#1056;&#1048;&#1060;_&#1058;&#1045;&#1055;&#1051;&#1054;_&#1101;&#1082;&#1089;&#1087;&#1077;&#1088;&#1080;&#1084;&#1077;&#1085;&#109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ch\Backup\&#1044;&#1077;&#1083;&#1072;\2016\2016\&#1058;&#1072;&#1088;&#1080;&#1092;&#1099;\&#1040;&#1042;&#1048;&#1040;&#1057;&#1055;&#1045;&#1062;&#1052;&#1054;&#1053;&#1058;&#1040;&#1046;\&#1040;&#1074;&#1080;&#1072;&#1089;&#1087;&#1077;&#1094;&#1084;&#1086;&#1085;&#1090;&#1072;&#1078;&#1058;&#1072;&#1088;&#1080;&#1092;&#1058;&#1077;&#1087;&#1083;&#1086;2014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1040;&#1076;&#1084;&#1080;&#1085;&#1080;&#1089;&#1090;&#1088;&#1072;&#1090;&#1086;&#1088;/&#1042;&#1089;&#1105;%20&#1095;&#1090;&#1086;%20&#1077;&#1089;&#1090;&#1100;/&#1056;&#1040;&#1041;&#1054;&#1058;&#1040;/&#1056;&#1069;&#1057;%20&#1085;&#1072;%202013/23.04.12%20&#1085;&#1072;%202013%20&#1075;%20&#1056;&#1069;&#1057;%20&#1058;&#1072;&#1073;&#1083;&#1080;&#1094;&#1099;%20&#1087;&#1086;%20&#1087;&#1077;&#1088;&#1077;&#1076;&#1072;&#1095;&#1077;%20&#1101;&#1083;.%20&#1101;&#1085;&#1077;&#1088;&#1075;&#1080;&#1080;%2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2042/Application%20Data/Microsoft/Excel/&#1085;&#1072;%20&#1087;&#1086;&#1076;&#1087;&#1080;&#1089;&#1100;%2028.04.14/&#1044;&#1086;&#1082;&#1091;&#1084;&#1077;&#1085;&#1090;&#1099;%20&#1087;&#1086;%20&#1080;&#1079;&#1074;&#1077;&#1097;.27.05.2013&#1075;/27.05.13%20&#1057;&#1090;&#1088;-&#1088;&#1072;%20&#1055;1%2030%202014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++++FORMA.5.2.63_&#1040;&#1054;_&#1056;&#1050;&#1062;_&#1055;&#1088;&#1086;&#1075;&#1088;&#1077;&#1089;&#1089;_12&#1084;&#1077;&#1089;._2018&#1082;&#1086;&#1088;&#108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Contacts/Downloads/&#1057;&#1086;&#1075;&#1083;&#1072;&#1089;&#1086;&#1074;&#1072;&#1085;&#1080;&#1077;%20&#1086;&#1073;.2016/15.04.15&#1057;&#1072;&#1084;&#1072;&#1088;&#1072;&#1101;&#1085;&#1077;&#1088;&#1075;&#1086;%20&#1057;&#1090;&#1088;&#1091;&#1082;&#1090;&#1091;&#1088;&#1072;%20&#1087;&#1086;&#1083;%20&#1086;&#1090;&#1087;%202016&#1075;%2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Contacts/Downloads/&#1057;&#1086;&#1075;&#1083;&#1072;&#1089;&#1086;&#1074;&#1072;&#1085;&#1080;&#1077;%20&#1086;&#1073;.2016/&#1057;&#1072;&#1084;&#1072;&#1088;&#1072;&#1101;&#1085;&#1077;&#1088;&#1075;&#1086;%20&#1057;&#1090;&#1088;&#1091;&#1082;&#1090;&#1091;&#1088;&#1072;%20&#1087;&#1086;&#1083;%20&#1086;&#1090;&#1087;%202016&#1075;%2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3;&#1053;&#1055;&#1056;&#1050;%20&#1062;&#1077;&#1085;&#1090;&#1088;%20&#1062;&#1057;&#1050;&#1041;-&#1055;&#1088;&#1086;&#1075;&#1088;&#1077;&#1089;&#1089;/&#1062;&#1057;&#1050;&#1041;%202012&#1075;.&#1058;&#1072;&#1073;&#1083;&#1080;&#1094;&#1099;%20&#1087;&#1086;%20&#1087;&#1077;&#1088;&#1077;&#1076;&#1072;&#1095;&#1077;%20&#1101;&#1083;.&#1101;&#1085;&#1077;&#1088;&#1075;&#1080;&#1080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42;&#1086;&#1089;&#1089;&#1090;&#1072;&#1085;&#1086;&#1074;&#1083;&#1077;&#1085;&#1085;&#1072;&#1103;_&#1074;&#1085;&#1077;&#1096;&#1085;&#1103;&#1103;_&#1089;&#1089;&#1099;&#1083;&#1082;&#1072;1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3;&#1053;&#1055;&#1056;&#1050;%20&#1062;&#1077;&#1085;&#1090;&#1088;%20&#1062;&#1057;&#1050;&#1041;-&#1055;&#1088;&#1086;&#1075;&#1088;&#1077;&#1089;&#1089;/&#1057;&#1090;&#1088;&#1091;&#1082;&#1090;&#1091;&#1088;&#1072;%20&#1087;&#1086;&#1083;&#1077;&#1079;%20&#1086;&#1090;&#1087;&#1091;&#1089;&#1082;&#1072;_&#1085;&#1072;%20201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6;&#1082;&#1091;&#1084;&#1077;&#1085;&#1090;&#1099;%20&#1076;&#1083;&#1103;%20&#1088;&#1077;&#1077;&#1089;&#1090;&#1088;&#1072;%20&#1080;%20&#1090;&#1072;&#1088;&#1080;&#1092;&#1072;%20&#1101;&#1101;/&#1058;&#1072;&#1088;&#1080;&#1092;/&#1058;&#1072;&#1088;&#1080;&#1092;%202012%20&#1075;/&#1045;&#1076;.2012-2015&#1075;&#107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2042/Application%20Data/Microsoft/Excel/&#1085;&#1072;%20&#1087;&#1086;&#1076;&#1087;&#1080;&#1089;&#1100;%2028.04.14/&#1062;&#1057;&#1050;&#1041;%202012&#1075;.&#1058;&#1072;&#1073;&#1083;&#1080;&#1094;&#1099;%20&#1087;&#1086;%20&#1087;&#1077;&#1088;&#1077;&#1076;&#1072;&#1095;&#1077;%20&#1101;&#1083;.&#1101;&#1085;&#1077;&#1088;&#1075;&#1080;&#1080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2042/Application%20Data/Microsoft/Excel/&#1085;&#1072;%20&#1087;&#1086;&#1076;&#1087;&#1080;&#1089;&#1100;%2028.04.14/&#1080;&#1102;&#1085;&#1100;%20&#1062;&#1057;&#1050;&#1041;%202012&#1075;.&#1058;&#1072;&#1073;&#1083;&#1080;&#1094;&#1099;%20&#1087;&#1086;%20&#1087;&#1077;&#1088;&#1077;&#1076;&#1072;&#1095;&#1077;%20&#1101;&#1083;.&#1101;&#1085;&#1077;&#1088;&#1075;&#1080;&#108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3;&#1053;&#1055;&#1056;&#1050;%20&#1062;&#1077;&#1085;&#1090;&#1088;%20&#1062;&#1057;&#1050;&#1041;-&#1055;&#1088;&#1086;&#1075;&#1088;&#1077;&#1089;&#1089;/2015%20&#1075;.%20&#1056;&#1072;&#1089;&#1095;&#1077;&#1090;%20&#1053;&#1042;&#1042;%20&#1062;&#1057;&#1050;&#1041;%20&#1055;&#1088;&#1086;&#1075;&#1088;&#1077;&#1089;&#1089;/2015%20&#1075;.&#1051;&#1054;&#1062;%20&#1050;&#1054;&#1057;&#1052;&#1054;&#1057;/25.09.14%20&#1075;.&#1055;&#1088;&#1086;&#1075;&#1088;&#1077;&#1089;&#1089;%202015&#1075;.&#1058;&#1072;&#1073;&#1083;&#1080;&#1094;&#1099;%20&#1101;&#1083;.&#1101;&#1085;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"/>
    </sheetNames>
    <sheetDataSet>
      <sheetData sheetId="0" refreshError="1">
        <row r="5">
          <cell r="B5" t="str">
            <v>Выпуск проката на сторону</v>
          </cell>
        </row>
        <row r="8">
          <cell r="B8" t="str">
            <v>Валовая прибыль</v>
          </cell>
        </row>
        <row r="9">
          <cell r="B9" t="str">
            <v xml:space="preserve">Затраты на производство товарной продукции </v>
          </cell>
        </row>
        <row r="10">
          <cell r="B10" t="str">
            <v xml:space="preserve">Выручка, затраты, прибыль от реализации продукции ( работ, услуг ) </v>
          </cell>
        </row>
        <row r="11">
          <cell r="B11" t="str">
            <v>Выручка, затраты, прибыль от прочей реализации продукции                                                            ( работ, услуг )</v>
          </cell>
        </row>
        <row r="13">
          <cell r="B13" t="str">
            <v>Себестоимость товарной и реализованной продукции</v>
          </cell>
        </row>
        <row r="14">
          <cell r="B14" t="str">
            <v>Прибыль товарной и реализованной продукции</v>
          </cell>
        </row>
        <row r="16">
          <cell r="B16" t="str">
            <v>Затраты на 1 руб. товарной и реализованной продукции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"/>
    </sheetNames>
    <sheetDataSet>
      <sheetData sheetId="0">
        <row r="5">
          <cell r="B5" t="str">
            <v>Выпуск проката на сторону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"/>
    </sheetNames>
    <sheetDataSet>
      <sheetData sheetId="0" refreshError="1">
        <row r="5">
          <cell r="B5" t="str">
            <v>Выпуск проката на сторону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Обновление"/>
      <sheetName val="Лог обновления"/>
      <sheetName val="Титульный"/>
      <sheetName val="tech"/>
      <sheetName val="TEHSHEET"/>
      <sheetName val="НВВ Затраты+"/>
      <sheetName val="modNVVZPlus"/>
      <sheetName val="Расчёт расходов долгосрочный"/>
      <sheetName val="modLongterm"/>
      <sheetName val="Расчёт расходов RAB"/>
      <sheetName val="modRAB"/>
      <sheetName val="Расчёт НВВ по RAB"/>
      <sheetName val="modNVVRAB"/>
      <sheetName val="Расшифровка расходов"/>
      <sheetName val="Свод"/>
      <sheetName val="П1.16"/>
      <sheetName val="П1.17"/>
      <sheetName val="П1.17.1"/>
      <sheetName val="Р.2.1"/>
      <sheetName val="Р.2.2"/>
      <sheetName val="НВВ по уровням"/>
      <sheetName val="Проверка"/>
      <sheetName val="modUpdateStatus"/>
      <sheetName val="modUpdTemplMain"/>
      <sheetName val="modProv"/>
      <sheetName val="REESTR_ORG"/>
      <sheetName val="REESTR"/>
      <sheetName val="modSheetTitle"/>
      <sheetName val="modfrmMethod"/>
      <sheetName val="modApplyMethods"/>
      <sheetName val="modSheetCostsDetails"/>
    </sheetNames>
    <sheetDataSet>
      <sheetData sheetId="0">
        <row r="2">
          <cell r="N2" t="str">
            <v>Версия 4.0</v>
          </cell>
        </row>
      </sheetData>
      <sheetData sheetId="1"/>
      <sheetData sheetId="2"/>
      <sheetData sheetId="3">
        <row r="5">
          <cell r="M5">
            <v>2011</v>
          </cell>
        </row>
        <row r="6">
          <cell r="F6" t="str">
            <v>Ульяновская область</v>
          </cell>
        </row>
        <row r="7">
          <cell r="M7">
            <v>2012</v>
          </cell>
        </row>
        <row r="10">
          <cell r="F10" t="str">
            <v>ОАО "Ульяновский комбинат строительных материалов"</v>
          </cell>
        </row>
        <row r="20">
          <cell r="F20" t="str">
            <v>Не регулируется</v>
          </cell>
        </row>
        <row r="21">
          <cell r="F21" t="str">
            <v>Затраты+</v>
          </cell>
        </row>
        <row r="22">
          <cell r="F22" t="str">
            <v>Затраты+</v>
          </cell>
        </row>
        <row r="23">
          <cell r="F23" t="str">
            <v>Долгосрочный</v>
          </cell>
        </row>
        <row r="24">
          <cell r="F24" t="str">
            <v>Долгосрочный</v>
          </cell>
        </row>
        <row r="25">
          <cell r="F25" t="str">
            <v>Долгосрочный</v>
          </cell>
        </row>
        <row r="26">
          <cell r="F26" t="str">
            <v>Не регулируется</v>
          </cell>
        </row>
        <row r="27">
          <cell r="F27" t="str">
            <v>Не регулируется</v>
          </cell>
        </row>
        <row r="28">
          <cell r="F28" t="str">
            <v>Не регулируется</v>
          </cell>
        </row>
        <row r="29">
          <cell r="F29" t="str">
            <v>Не регулируется</v>
          </cell>
        </row>
        <row r="30">
          <cell r="F30" t="str">
            <v>Не регулируется</v>
          </cell>
        </row>
        <row r="31">
          <cell r="F31" t="str">
            <v>Не регулируется</v>
          </cell>
        </row>
        <row r="32">
          <cell r="F32" t="str">
            <v>Не регулируется</v>
          </cell>
        </row>
      </sheetData>
      <sheetData sheetId="4"/>
      <sheetData sheetId="5"/>
      <sheetData sheetId="6">
        <row r="34">
          <cell r="J34">
            <v>0</v>
          </cell>
        </row>
      </sheetData>
      <sheetData sheetId="7"/>
      <sheetData sheetId="8">
        <row r="8">
          <cell r="I8">
            <v>2012</v>
          </cell>
          <cell r="J8">
            <v>2012</v>
          </cell>
          <cell r="K8">
            <v>2013</v>
          </cell>
          <cell r="L8">
            <v>2013</v>
          </cell>
          <cell r="M8">
            <v>2014</v>
          </cell>
          <cell r="N8">
            <v>2014</v>
          </cell>
          <cell r="O8">
            <v>2015</v>
          </cell>
          <cell r="P8">
            <v>2015</v>
          </cell>
          <cell r="Q8">
            <v>2016</v>
          </cell>
          <cell r="R8">
            <v>2016</v>
          </cell>
          <cell r="S8">
            <v>2017</v>
          </cell>
          <cell r="T8">
            <v>2017</v>
          </cell>
          <cell r="U8">
            <v>2018</v>
          </cell>
          <cell r="V8">
            <v>2018</v>
          </cell>
          <cell r="W8">
            <v>2019</v>
          </cell>
          <cell r="X8">
            <v>2019</v>
          </cell>
          <cell r="Y8">
            <v>2020</v>
          </cell>
          <cell r="Z8">
            <v>2020</v>
          </cell>
          <cell r="AA8">
            <v>2021</v>
          </cell>
          <cell r="AB8">
            <v>2021</v>
          </cell>
        </row>
        <row r="22">
          <cell r="K22">
            <v>1</v>
          </cell>
          <cell r="M22">
            <v>1</v>
          </cell>
        </row>
        <row r="33">
          <cell r="G33">
            <v>0</v>
          </cell>
          <cell r="H33">
            <v>0</v>
          </cell>
          <cell r="I33">
            <v>0</v>
          </cell>
          <cell r="K33">
            <v>0</v>
          </cell>
          <cell r="M33">
            <v>0</v>
          </cell>
        </row>
        <row r="63">
          <cell r="G63">
            <v>0</v>
          </cell>
          <cell r="H63">
            <v>0</v>
          </cell>
          <cell r="I63">
            <v>0</v>
          </cell>
          <cell r="K63">
            <v>0</v>
          </cell>
          <cell r="M63">
            <v>0</v>
          </cell>
        </row>
        <row r="78">
          <cell r="G78">
            <v>0</v>
          </cell>
          <cell r="H78">
            <v>0</v>
          </cell>
          <cell r="K78">
            <v>0</v>
          </cell>
          <cell r="M78">
            <v>0</v>
          </cell>
        </row>
        <row r="94">
          <cell r="I94">
            <v>0</v>
          </cell>
          <cell r="K94">
            <v>0</v>
          </cell>
          <cell r="M94">
            <v>0</v>
          </cell>
        </row>
      </sheetData>
      <sheetData sheetId="9"/>
      <sheetData sheetId="10">
        <row r="8">
          <cell r="G8">
            <v>2009</v>
          </cell>
          <cell r="H8">
            <v>2009</v>
          </cell>
          <cell r="J8">
            <v>2010</v>
          </cell>
          <cell r="K8">
            <v>2010</v>
          </cell>
          <cell r="M8">
            <v>2011</v>
          </cell>
          <cell r="N8">
            <v>2011</v>
          </cell>
          <cell r="P8">
            <v>2012</v>
          </cell>
          <cell r="Q8">
            <v>2012</v>
          </cell>
          <cell r="S8">
            <v>2013</v>
          </cell>
          <cell r="T8">
            <v>2013</v>
          </cell>
          <cell r="V8">
            <v>2014</v>
          </cell>
          <cell r="W8">
            <v>2014</v>
          </cell>
          <cell r="Y8">
            <v>2015</v>
          </cell>
          <cell r="Z8">
            <v>2015</v>
          </cell>
          <cell r="AB8">
            <v>2016</v>
          </cell>
          <cell r="AC8">
            <v>2016</v>
          </cell>
          <cell r="AE8">
            <v>2017</v>
          </cell>
          <cell r="AF8">
            <v>2017</v>
          </cell>
          <cell r="AH8">
            <v>2018</v>
          </cell>
          <cell r="AI8">
            <v>2018</v>
          </cell>
          <cell r="AK8">
            <v>2019</v>
          </cell>
          <cell r="AL8">
            <v>2019</v>
          </cell>
          <cell r="AN8">
            <v>2020</v>
          </cell>
          <cell r="AO8">
            <v>2020</v>
          </cell>
          <cell r="AQ8">
            <v>2021</v>
          </cell>
          <cell r="AR8">
            <v>2021</v>
          </cell>
        </row>
      </sheetData>
      <sheetData sheetId="11"/>
      <sheetData sheetId="12"/>
      <sheetData sheetId="13"/>
      <sheetData sheetId="14">
        <row r="27">
          <cell r="J27">
            <v>0</v>
          </cell>
        </row>
      </sheetData>
      <sheetData sheetId="15"/>
      <sheetData sheetId="16">
        <row r="54">
          <cell r="K54">
            <v>0</v>
          </cell>
        </row>
      </sheetData>
      <sheetData sheetId="17">
        <row r="86">
          <cell r="K86">
            <v>0</v>
          </cell>
        </row>
      </sheetData>
      <sheetData sheetId="18"/>
      <sheetData sheetId="19"/>
      <sheetData sheetId="20"/>
      <sheetData sheetId="21">
        <row r="25">
          <cell r="C25">
            <v>2009</v>
          </cell>
          <cell r="F25">
            <v>0</v>
          </cell>
        </row>
        <row r="38">
          <cell r="C38">
            <v>2009</v>
          </cell>
          <cell r="F38">
            <v>0</v>
          </cell>
        </row>
        <row r="51">
          <cell r="C51">
            <v>2010</v>
          </cell>
          <cell r="F51">
            <v>0</v>
          </cell>
        </row>
        <row r="64">
          <cell r="C64">
            <v>2010</v>
          </cell>
          <cell r="F64">
            <v>0</v>
          </cell>
        </row>
        <row r="77">
          <cell r="C77">
            <v>2011</v>
          </cell>
          <cell r="F77">
            <v>0</v>
          </cell>
        </row>
        <row r="90">
          <cell r="C90">
            <v>2011</v>
          </cell>
          <cell r="F90">
            <v>0</v>
          </cell>
        </row>
        <row r="103">
          <cell r="C103">
            <v>2012</v>
          </cell>
          <cell r="F103">
            <v>0</v>
          </cell>
        </row>
        <row r="116">
          <cell r="C116">
            <v>2012</v>
          </cell>
          <cell r="F116">
            <v>0</v>
          </cell>
        </row>
        <row r="129">
          <cell r="C129">
            <v>2013</v>
          </cell>
          <cell r="F129">
            <v>0</v>
          </cell>
        </row>
        <row r="142">
          <cell r="C142">
            <v>2013</v>
          </cell>
          <cell r="F142">
            <v>0</v>
          </cell>
        </row>
        <row r="155">
          <cell r="C155">
            <v>2014</v>
          </cell>
          <cell r="F155">
            <v>0</v>
          </cell>
        </row>
        <row r="168">
          <cell r="C168">
            <v>2014</v>
          </cell>
          <cell r="F168">
            <v>0</v>
          </cell>
        </row>
        <row r="181">
          <cell r="C181">
            <v>2015</v>
          </cell>
          <cell r="F181">
            <v>0</v>
          </cell>
        </row>
        <row r="194">
          <cell r="C194">
            <v>2015</v>
          </cell>
          <cell r="F194">
            <v>0</v>
          </cell>
        </row>
        <row r="207">
          <cell r="C207">
            <v>2016</v>
          </cell>
          <cell r="F207">
            <v>0</v>
          </cell>
        </row>
        <row r="220">
          <cell r="C220">
            <v>2016</v>
          </cell>
          <cell r="F220">
            <v>0</v>
          </cell>
        </row>
        <row r="233">
          <cell r="C233">
            <v>2017</v>
          </cell>
          <cell r="F233">
            <v>0</v>
          </cell>
        </row>
        <row r="246">
          <cell r="C246">
            <v>2017</v>
          </cell>
          <cell r="F246">
            <v>0</v>
          </cell>
        </row>
        <row r="259">
          <cell r="C259">
            <v>2018</v>
          </cell>
          <cell r="F259">
            <v>0</v>
          </cell>
        </row>
        <row r="272">
          <cell r="C272">
            <v>2018</v>
          </cell>
          <cell r="F272">
            <v>0</v>
          </cell>
        </row>
        <row r="285">
          <cell r="C285">
            <v>2019</v>
          </cell>
          <cell r="F285">
            <v>0</v>
          </cell>
        </row>
        <row r="298">
          <cell r="C298">
            <v>2019</v>
          </cell>
          <cell r="F298">
            <v>0</v>
          </cell>
        </row>
        <row r="311">
          <cell r="C311">
            <v>2020</v>
          </cell>
          <cell r="F311">
            <v>0</v>
          </cell>
        </row>
        <row r="324">
          <cell r="C324">
            <v>2020</v>
          </cell>
          <cell r="F324">
            <v>0</v>
          </cell>
        </row>
        <row r="337">
          <cell r="C337">
            <v>2021</v>
          </cell>
          <cell r="F337">
            <v>0</v>
          </cell>
        </row>
        <row r="350">
          <cell r="C350">
            <v>2021</v>
          </cell>
          <cell r="F350">
            <v>0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ЭЗ_св_табл"/>
      <sheetName val="шаблон1"/>
      <sheetName val="формы_шаблоны"/>
      <sheetName val="Справочники"/>
      <sheetName val="Коррекция"/>
      <sheetName val="СВОД"/>
      <sheetName val="ЭЗ-СН"/>
      <sheetName val="Предл"/>
      <sheetName val="Прил4"/>
      <sheetName val="Балансы"/>
      <sheetName val="СравнТабл"/>
      <sheetName val="СН"/>
      <sheetName val="ДинамикаЭСО"/>
      <sheetName val="Темп"/>
      <sheetName val="НСИ_РХК"/>
      <sheetName val="ТехХарактеристики"/>
      <sheetName val="сводная_таблица"/>
      <sheetName val="исходные_данные"/>
      <sheetName val="Макет_работы_котлов"/>
      <sheetName val="ДИНАМИКА"/>
      <sheetName val="НОРМАТИВЫ"/>
      <sheetName val="K3"/>
      <sheetName val="K4"/>
      <sheetName val="K5"/>
      <sheetName val="K6"/>
      <sheetName val="K7"/>
      <sheetName val="K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2">
          <cell r="D2" t="str">
            <v>ООО "Авиаспецмонтаж"</v>
          </cell>
        </row>
        <row r="3">
          <cell r="D3">
            <v>2017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ОЛНЕНИЕ"/>
      <sheetName val="Полезный_отпуск"/>
      <sheetName val="ТОПЛИВО"/>
      <sheetName val="Амортизация"/>
      <sheetName val="Электроэнергия"/>
      <sheetName val="ВОДА"/>
      <sheetName val="ФОТ"/>
      <sheetName val="ПРОЧИЕ РСЭО"/>
      <sheetName val="ОХР"/>
      <sheetName val="Ремонт"/>
      <sheetName val="АРЕНДА"/>
      <sheetName val="ПРИБЫЛЬ"/>
      <sheetName val="У.Е."/>
      <sheetName val="3.1"/>
      <sheetName val="4.1"/>
      <sheetName val="4.2"/>
      <sheetName val="4.3"/>
      <sheetName val="4.4"/>
      <sheetName val="4.5"/>
      <sheetName val="4.6"/>
      <sheetName val="5.1"/>
      <sheetName val="5.2"/>
      <sheetName val="5.3"/>
      <sheetName val="5.4"/>
      <sheetName val="5.5"/>
      <sheetName val="5.6"/>
      <sheetName val="5.7"/>
      <sheetName val="5.9"/>
      <sheetName val="4.7"/>
      <sheetName val="4.8"/>
      <sheetName val="4.9"/>
      <sheetName val="4.10"/>
      <sheetName val="4.11"/>
      <sheetName val="4.12"/>
      <sheetName val="4.13"/>
      <sheetName val="4.14"/>
      <sheetName val="4.15"/>
      <sheetName val="6.2"/>
      <sheetName val="6.3"/>
      <sheetName val="6.4"/>
      <sheetName val="6.1"/>
      <sheetName val="2"/>
    </sheetNames>
    <sheetDataSet>
      <sheetData sheetId="0">
        <row r="2">
          <cell r="C2" t="str">
            <v>ООО "Юг сети"</v>
          </cell>
          <cell r="I2" t="str">
            <v>Д.В. Березовский</v>
          </cell>
        </row>
        <row r="3">
          <cell r="C3" t="str">
            <v>Генеральный директор</v>
          </cell>
          <cell r="I3" t="str">
            <v>тел. 8 (846) 221-60-58</v>
          </cell>
        </row>
        <row r="272">
          <cell r="C272" t="str">
            <v>Здания</v>
          </cell>
        </row>
        <row r="273">
          <cell r="C273" t="str">
            <v>Сооружения</v>
          </cell>
        </row>
        <row r="274">
          <cell r="C274" t="str">
            <v>Передаточные устройства</v>
          </cell>
        </row>
        <row r="275">
          <cell r="C275" t="str">
            <v>Силовые машины</v>
          </cell>
        </row>
        <row r="276">
          <cell r="C276" t="str">
            <v>Рабочие машины</v>
          </cell>
        </row>
        <row r="277">
          <cell r="C277" t="str">
            <v>Приборы и лаборат. оборудование</v>
          </cell>
        </row>
        <row r="278">
          <cell r="C278" t="str">
            <v>Вычислительная техника</v>
          </cell>
        </row>
        <row r="279">
          <cell r="C279" t="str">
            <v>Прочие машины</v>
          </cell>
        </row>
        <row r="280">
          <cell r="C280" t="str">
            <v>Транспортные средства</v>
          </cell>
        </row>
        <row r="281">
          <cell r="C281" t="str">
            <v>Инструмент</v>
          </cell>
        </row>
        <row r="282">
          <cell r="C282" t="str">
            <v>Производственный инвентарь</v>
          </cell>
        </row>
        <row r="283">
          <cell r="C283" t="str">
            <v>Прочие основные производственные фонды</v>
          </cell>
        </row>
      </sheetData>
      <sheetData sheetId="1"/>
      <sheetData sheetId="2">
        <row r="14">
          <cell r="B14">
            <v>32946.812002407416</v>
          </cell>
        </row>
      </sheetData>
      <sheetData sheetId="3"/>
      <sheetData sheetId="4"/>
      <sheetData sheetId="5"/>
      <sheetData sheetId="6"/>
      <sheetData sheetId="7">
        <row r="14">
          <cell r="F14">
            <v>6762</v>
          </cell>
        </row>
      </sheetData>
      <sheetData sheetId="8"/>
      <sheetData sheetId="9"/>
      <sheetData sheetId="10">
        <row r="8">
          <cell r="G8">
            <v>11006396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7">
          <cell r="E7">
            <v>70684.963816610063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вод данных"/>
      <sheetName val="Примечание"/>
      <sheetName val="1"/>
      <sheetName val="8"/>
      <sheetName val="7"/>
      <sheetName val="9"/>
      <sheetName val="10"/>
      <sheetName val="11"/>
      <sheetName val="12"/>
      <sheetName val="15"/>
      <sheetName val="15.1"/>
      <sheetName val="15.2"/>
      <sheetName val="16"/>
      <sheetName val="16.1"/>
      <sheetName val="16.2"/>
      <sheetName val="17"/>
      <sheetName val="17.1"/>
      <sheetName val="17.2"/>
      <sheetName val="19"/>
      <sheetName val="19.1"/>
      <sheetName val="19.2"/>
      <sheetName val="20"/>
      <sheetName val="20.1-4"/>
      <sheetName val="21"/>
      <sheetName val="21.1-2"/>
      <sheetName val="21.1-4"/>
      <sheetName val="22"/>
      <sheetName val="24.1"/>
      <sheetName val="28"/>
      <sheetName val="28.1"/>
      <sheetName val="28.2"/>
      <sheetName val="Ставка за теплоэнергию"/>
      <sheetName val="ставка платы "/>
      <sheetName val="П1.28.3"/>
      <sheetName val="Лист3"/>
      <sheetName val="3.1.-3.2"/>
      <sheetName val="3.3"/>
      <sheetName val="3.4-3.5"/>
      <sheetName val="4.0"/>
      <sheetName val="4.1"/>
      <sheetName val="4.2"/>
      <sheetName val="4.3"/>
    </sheetNames>
    <sheetDataSet>
      <sheetData sheetId="0">
        <row r="3">
          <cell r="C3" t="str">
            <v>Петров П.П.</v>
          </cell>
        </row>
        <row r="4">
          <cell r="C4" t="str">
            <v>Генеральный Директор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вод данных"/>
      <sheetName val="Полезный отпуск"/>
      <sheetName val="Баланс2014"/>
      <sheetName val="ГАЗ"/>
      <sheetName val="ВОДА"/>
      <sheetName val="Амортизация"/>
      <sheetName val="ПереводКоэффициент"/>
      <sheetName val="Электро"/>
      <sheetName val="СОЛЬ"/>
      <sheetName val="ОХР"/>
      <sheetName val="Цеховые"/>
      <sheetName val="АмортЦех"/>
      <sheetName val="Ремонты"/>
      <sheetName val="ФОТ"/>
      <sheetName val="ДРУГИЕ"/>
      <sheetName val="7"/>
      <sheetName val="9"/>
      <sheetName val="8"/>
      <sheetName val="8 нов"/>
      <sheetName val="10"/>
      <sheetName val="11"/>
      <sheetName val="12"/>
      <sheetName val="15"/>
      <sheetName val="15.1"/>
      <sheetName val="15.2"/>
      <sheetName val="16"/>
      <sheetName val="16.1"/>
      <sheetName val="16.2"/>
      <sheetName val="17"/>
      <sheetName val="17.1"/>
      <sheetName val="17.2"/>
      <sheetName val="П 1.19"/>
      <sheetName val="П1.19.1"/>
      <sheetName val="П1.19.2"/>
      <sheetName val="19"/>
      <sheetName val="19.1"/>
      <sheetName val="19.2"/>
      <sheetName val="20"/>
      <sheetName val="20.1-4"/>
      <sheetName val="21"/>
      <sheetName val="21.1-2"/>
      <sheetName val="21.1-4"/>
      <sheetName val="22"/>
      <sheetName val="24.1"/>
      <sheetName val="24.1 нов."/>
      <sheetName val="28"/>
      <sheetName val="28.1"/>
      <sheetName val="28.1 нов."/>
      <sheetName val="25.1"/>
      <sheetName val="28.2"/>
      <sheetName val="Ставка за теплоэнергию"/>
      <sheetName val="ставка платы "/>
      <sheetName val="П1.28.3"/>
      <sheetName val="4.0"/>
      <sheetName val="4.1"/>
      <sheetName val="4.2"/>
      <sheetName val="4.3"/>
    </sheetNames>
    <sheetDataSet>
      <sheetData sheetId="0" refreshError="1">
        <row r="2">
          <cell r="C2" t="str">
            <v>ООО "АВИАСПЕЦМОНТАЖ"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 1.18.2 план"/>
      <sheetName val="П 1.21.3. (2)"/>
      <sheetName val="П 1.24 (2)"/>
      <sheetName val="П 1.15.план"/>
      <sheetName val="Корр-ка НВВ 2013 (2)"/>
      <sheetName val="активы222"/>
      <sheetName val="Корр-ка НВВ 2013"/>
      <sheetName val="АРЕНДА"/>
      <sheetName val="П.2.2. 2013"/>
      <sheetName val="П.2.1. 2013"/>
      <sheetName val="Б. СГЭС"/>
      <sheetName val="Б. СЭн"/>
      <sheetName val="П 1.30"/>
      <sheetName val="Б.13г."/>
      <sheetName val="стр ПО"/>
      <sheetName val="П 1.3."/>
      <sheetName val="П 1.4."/>
      <sheetName val="П 1.5. "/>
      <sheetName val="П 1.6."/>
      <sheetName val="П 1.13."/>
      <sheetName val="П 1.15."/>
      <sheetName val="П 1.18.2"/>
      <sheetName val="ФЗП"/>
      <sheetName val="П 1.21.3."/>
      <sheetName val="П1.16 "/>
      <sheetName val="П1.17 свод"/>
      <sheetName val="П 1.20."/>
      <sheetName val="П 1.20.3."/>
      <sheetName val="П 1.25."/>
      <sheetName val="П 1.24"/>
      <sheetName val="П 1.27"/>
      <sheetName val="Лист1"/>
      <sheetName val="П1.16 свод"/>
      <sheetName val="Ремонты 2012"/>
      <sheetName val="раб. и УСЛУГИ12"/>
      <sheetName val="материалы"/>
      <sheetName val="П 1.30!!!!"/>
      <sheetName val="НВВ на сод 2012"/>
      <sheetName val="активы"/>
      <sheetName val="П 1.30 моя"/>
      <sheetName val="2012 Баланс КИН"/>
      <sheetName val="2012 Баланс НЕФ"/>
      <sheetName val="Работы 2011"/>
      <sheetName val="ФОТ 2010"/>
      <sheetName val="ОХР"/>
      <sheetName val="Прибыль"/>
      <sheetName val="П 1.16 АУП"/>
      <sheetName val="П 1.16 прочие"/>
      <sheetName val="П1.16раб"/>
      <sheetName val="П1.17 прочие"/>
      <sheetName val="П .1.17.1"/>
      <sheetName val="П.2.1."/>
      <sheetName val="П.2.2."/>
      <sheetName val="расчет"/>
      <sheetName val="ремонт. раб и услуги 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>
        <row r="11">
          <cell r="N11" t="str">
            <v>Соколов А.А.</v>
          </cell>
        </row>
      </sheetData>
      <sheetData sheetId="5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Ед.котл.тарифы 1и 2п-е 12г."/>
      <sheetName val="П1.30 -2014г., 1 и 2 п-е"/>
      <sheetName val="стр-ра пол.отп.1 полугод.2014г."/>
      <sheetName val="стр-ра пол.отп.2 полугод.2014г."/>
      <sheetName val="стр-ра пол.отп. 2014г."/>
      <sheetName val="Прилож.1-2012г. мощност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3">
          <cell r="B23">
            <v>133980</v>
          </cell>
          <cell r="D23">
            <v>485.92</v>
          </cell>
          <cell r="E23">
            <v>983.69999999999993</v>
          </cell>
          <cell r="F23">
            <v>464.38</v>
          </cell>
        </row>
      </sheetData>
      <sheetData sheetId="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Лог обновления"/>
      <sheetName val="Титульный"/>
      <sheetName val="НВВ на содержание"/>
      <sheetName val="Комментарии"/>
      <sheetName val="Проверка"/>
      <sheetName val="TEHSHEET"/>
      <sheetName val="AllSheetsInThisWorkbook"/>
      <sheetName val="modList00"/>
      <sheetName val="modInstruction"/>
      <sheetName val="modList01"/>
      <sheetName val="modListComs"/>
      <sheetName val="REESTR_ORG"/>
      <sheetName val="REESTR_MO"/>
      <sheetName val="modfrmReestr"/>
      <sheetName val="modfrmCheckUpdates"/>
      <sheetName val="modReestr"/>
      <sheetName val="modListProv"/>
      <sheetName val="modHyp"/>
      <sheetName val="modInfo"/>
      <sheetName val="modUpdTemplMain"/>
    </sheetNames>
    <sheetDataSet>
      <sheetData sheetId="0" refreshError="1"/>
      <sheetData sheetId="1" refreshError="1"/>
      <sheetData sheetId="2" refreshError="1"/>
      <sheetData sheetId="3">
        <row r="17">
          <cell r="H17">
            <v>2906.612406378471</v>
          </cell>
        </row>
        <row r="106">
          <cell r="G106">
            <v>160743.476</v>
          </cell>
          <cell r="H106">
            <v>22904.014000000003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тсо кроме мрск (2)"/>
      <sheetName val="2тсо кроме мрск (2)"/>
      <sheetName val="2016 тсо кроме мрск (2)"/>
      <sheetName val="1тсо кроме мрск"/>
      <sheetName val="2тсо кроме мрск"/>
      <sheetName val="2016 тсо кроме мрск"/>
      <sheetName val="1тсо кроме мрск НК"/>
      <sheetName val="2тсо кроме мрск НК"/>
      <sheetName val="2016 тсо кроме НК"/>
      <sheetName val="П1.30 2016г."/>
    </sheetNames>
    <sheetDataSet>
      <sheetData sheetId="0"/>
      <sheetData sheetId="1"/>
      <sheetData sheetId="2"/>
      <sheetData sheetId="3">
        <row r="2">
          <cell r="A2" t="str">
            <v xml:space="preserve">АО "РКЦ "Прогресс" </v>
          </cell>
        </row>
        <row r="63">
          <cell r="A63" t="str">
            <v>Примечание: * -  действующий договор оказания услуг по передаче электрической энергии № 3 от 01.01.2011г.;</v>
          </cell>
        </row>
        <row r="64">
          <cell r="A64" t="str">
            <v xml:space="preserve">                        ** -   действующие договора энергоснабжения № 20-1001э от 01.01.2013г. , № 20-1001к от 01.01.2013г..</v>
          </cell>
        </row>
        <row r="65">
          <cell r="D65" t="str">
            <v>Руководитель сетевой организации АО "РКЦ "Прогресс"</v>
          </cell>
        </row>
      </sheetData>
      <sheetData sheetId="4">
        <row r="9">
          <cell r="C9">
            <v>1450</v>
          </cell>
        </row>
      </sheetData>
      <sheetData sheetId="5">
        <row r="9">
          <cell r="B9">
            <v>9248</v>
          </cell>
        </row>
      </sheetData>
      <sheetData sheetId="6">
        <row r="9">
          <cell r="E9">
            <v>1.202</v>
          </cell>
        </row>
      </sheetData>
      <sheetData sheetId="7">
        <row r="9">
          <cell r="E9">
            <v>1.2010000000000001</v>
          </cell>
        </row>
      </sheetData>
      <sheetData sheetId="8">
        <row r="9">
          <cell r="B9">
            <v>3.9770000000000003</v>
          </cell>
        </row>
      </sheetData>
      <sheetData sheetId="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тсо кроме мрск"/>
      <sheetName val="2тсо кроме мрск"/>
      <sheetName val="2016 тсо кроме мрск"/>
      <sheetName val="1тсо кроме мрск НК"/>
      <sheetName val="2тсо кроме мрск НК"/>
      <sheetName val="2016 тсо кроме НК"/>
      <sheetName val="П1.30 2016г."/>
    </sheetNames>
    <sheetDataSet>
      <sheetData sheetId="0">
        <row r="2">
          <cell r="A2" t="str">
            <v xml:space="preserve">АО "РКЦ "Прогресс" </v>
          </cell>
        </row>
      </sheetData>
      <sheetData sheetId="1">
        <row r="9">
          <cell r="C9">
            <v>1155.5239999999999</v>
          </cell>
        </row>
      </sheetData>
      <sheetData sheetId="2">
        <row r="9">
          <cell r="B9">
            <v>9186.5099999999984</v>
          </cell>
        </row>
      </sheetData>
      <sheetData sheetId="3">
        <row r="2">
          <cell r="A2" t="str">
            <v xml:space="preserve">АО "РКЦ "Прогресс" </v>
          </cell>
        </row>
        <row r="44">
          <cell r="E44">
            <v>1.202</v>
          </cell>
          <cell r="F44">
            <v>0.78700000000000003</v>
          </cell>
        </row>
        <row r="45">
          <cell r="E45">
            <v>5.0000000000000001E-4</v>
          </cell>
          <cell r="F45">
            <v>3.212244897959184E-4</v>
          </cell>
        </row>
        <row r="59">
          <cell r="A59" t="str">
            <v>2. СОБСТВЕННОЕ ПОТРЕБЛЕНИЕ (в целом по юридическому лицу) **</v>
          </cell>
        </row>
        <row r="60">
          <cell r="E60">
            <v>734.06399999999996</v>
          </cell>
        </row>
        <row r="61">
          <cell r="E61">
            <v>0.16203000000000001</v>
          </cell>
        </row>
        <row r="65">
          <cell r="A65" t="str">
            <v>Руководитель энергосбытовой организации ООО "НК-Энергосбыт"</v>
          </cell>
          <cell r="D65" t="str">
            <v xml:space="preserve">Руководитель сетевой организации АО «РКЦ «Прогресс» </v>
          </cell>
        </row>
        <row r="71">
          <cell r="D71" t="str">
            <v xml:space="preserve"> _______________________________________________</v>
          </cell>
        </row>
      </sheetData>
      <sheetData sheetId="4">
        <row r="9">
          <cell r="E9">
            <v>1.2010000000000001</v>
          </cell>
        </row>
        <row r="44">
          <cell r="E44">
            <v>1.2010000000000001</v>
          </cell>
          <cell r="F44">
            <v>0.78700000000000003</v>
          </cell>
        </row>
        <row r="45">
          <cell r="E45">
            <v>5.0000000000000001E-4</v>
          </cell>
          <cell r="F45">
            <v>3.212244897959184E-4</v>
          </cell>
        </row>
        <row r="60">
          <cell r="E60">
            <v>682.06600000000003</v>
          </cell>
        </row>
        <row r="61">
          <cell r="E61">
            <v>0.16203000000000001</v>
          </cell>
        </row>
      </sheetData>
      <sheetData sheetId="5">
        <row r="9">
          <cell r="B9">
            <v>3.9770000000000003</v>
          </cell>
        </row>
      </sheetData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активы"/>
      <sheetName val="НВВ на содержание"/>
      <sheetName val="тел."/>
      <sheetName val="2012 Баланс  "/>
      <sheetName val="П1.30 - 18.04.11г."/>
      <sheetName val="П 1.3."/>
      <sheetName val="П 1.4."/>
      <sheetName val="П 1.5. "/>
      <sheetName val="П 1.6."/>
      <sheetName val="П 1.13."/>
      <sheetName val="П 1.15."/>
      <sheetName val="ОХР "/>
      <sheetName val="Прочие цеховые расходы"/>
      <sheetName val="П 1.18.2"/>
      <sheetName val="П 1.16 раб."/>
      <sheetName val="ФОТ 2011г. (2)"/>
      <sheetName val="П 1.16 РСС цех."/>
      <sheetName val="ФЗП раб.9мес.10г."/>
      <sheetName val="П 1.16 АУП ОХР"/>
      <sheetName val="П 1.16 свод"/>
      <sheetName val="П 1.17"/>
      <sheetName val="П .1.17.1"/>
      <sheetName val="П 1.17 (2)"/>
      <sheetName val="П .1.17.1 (2)"/>
      <sheetName val="Амортизация 11г. - 12г."/>
      <sheetName val="П 1.17 свод"/>
      <sheetName val="П 1.20."/>
      <sheetName val="П 1.20.3."/>
      <sheetName val="П 1.21.3."/>
      <sheetName val="П 1.24"/>
      <sheetName val="С-Э и сет.расч.инд.межсет.2011"/>
      <sheetName val="УГРКЭ расч.по инд.межсет.тар.11"/>
      <sheetName val="П 1.25."/>
      <sheetName val="П 1.27"/>
      <sheetName val="П.2.1."/>
      <sheetName val="П.2.2."/>
      <sheetName val="П.2.1.общ."/>
      <sheetName val="П.2.2. общ"/>
      <sheetName val="активы общ."/>
      <sheetName val="Расчет"/>
      <sheetName val="Реестр вспомог.мат.2010-2011"/>
      <sheetName val="Работы и услуги 2011г."/>
      <sheetName val="РСЭО 2012г."/>
      <sheetName val="Распред.приб. на соц.разв.2011"/>
      <sheetName val="Цеховые  2008-2010 гг."/>
      <sheetName val="ОХР  (2)"/>
      <sheetName val="П 1.17 цех."/>
      <sheetName val="Амортизация цех10г. - 11г."/>
      <sheetName val="П 1.17 ОХР"/>
      <sheetName val="П 1.15. Расшифровка"/>
      <sheetName val="ФЗП раб.10г.-11г."/>
      <sheetName val="в доле ФЗП РСС 10г.-11г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38">
          <cell r="E38">
            <v>1087.3478500000001</v>
          </cell>
        </row>
      </sheetData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-ра пол.отп. 2012г.01.11.11"/>
      <sheetName val="П1.30 -01.11.11г."/>
      <sheetName val="стр-ра пол.отп.2012г.1 полугод."/>
      <sheetName val="П1.30 -2012г.1 полугод."/>
      <sheetName val="стр-ра пол.отп.2012г.2 полугод."/>
      <sheetName val="П1.30 - 2012г.2полугод "/>
      <sheetName val="Ед.котл.тарифы 1и 2п-е 12г."/>
      <sheetName val="П1.30 -2014г., 1 и 2 п-е"/>
      <sheetName val="стр-ра пол.отп.1 полугод.2014г."/>
      <sheetName val="стр-ра пол.отп.2 полугод.2014г."/>
      <sheetName val="стр-ра пол.отп. 2014г."/>
      <sheetName val="Прилож.1-2012г. мощность"/>
    </sheetNames>
    <sheetDataSet>
      <sheetData sheetId="0" refreshError="1"/>
      <sheetData sheetId="1" refreshError="1">
        <row r="22">
          <cell r="C22">
            <v>9420</v>
          </cell>
          <cell r="D22">
            <v>1.0900000000000001</v>
          </cell>
        </row>
      </sheetData>
      <sheetData sheetId="2" refreshError="1"/>
      <sheetData sheetId="3" refreshError="1">
        <row r="14">
          <cell r="C14">
            <v>258.28800000000001</v>
          </cell>
        </row>
        <row r="22">
          <cell r="C22">
            <v>4520</v>
          </cell>
        </row>
        <row r="24">
          <cell r="C24">
            <v>423.916</v>
          </cell>
        </row>
        <row r="26">
          <cell r="C26">
            <v>349</v>
          </cell>
        </row>
        <row r="28">
          <cell r="C28">
            <v>271.26400000000001</v>
          </cell>
        </row>
      </sheetData>
      <sheetData sheetId="4" refreshError="1"/>
      <sheetData sheetId="5" refreshError="1">
        <row r="14">
          <cell r="C14">
            <v>203.92499999999998</v>
          </cell>
        </row>
        <row r="22">
          <cell r="C22">
            <v>4900</v>
          </cell>
        </row>
        <row r="24">
          <cell r="C24">
            <v>389.39500000000004</v>
          </cell>
        </row>
        <row r="26">
          <cell r="C26">
            <v>325</v>
          </cell>
        </row>
        <row r="28">
          <cell r="C28">
            <v>260.29399999999998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-ра пол.отп. 2012г_"/>
      <sheetName val="стр-ра пол.отп. 2012г_ (2)"/>
      <sheetName val="стр-ра пол.отп. 2012г_ (3)"/>
      <sheetName val="Лист1"/>
      <sheetName val="П1.30 - 18.04.11г."/>
      <sheetName val="Прилож.1-2012г."/>
    </sheetNames>
    <sheetDataSet>
      <sheetData sheetId="0"/>
      <sheetData sheetId="1"/>
      <sheetData sheetId="2">
        <row r="2">
          <cell r="H2">
            <v>36138.020999999993</v>
          </cell>
        </row>
      </sheetData>
      <sheetData sheetId="3">
        <row r="20">
          <cell r="H20">
            <v>8417.0198482290671</v>
          </cell>
        </row>
      </sheetData>
      <sheetData sheetId="4">
        <row r="1">
          <cell r="H1">
            <v>36138.020999999993</v>
          </cell>
        </row>
      </sheetData>
      <sheetData sheetId="5">
        <row r="33">
          <cell r="C33">
            <v>813.31100000000004</v>
          </cell>
        </row>
        <row r="47">
          <cell r="C47">
            <v>23680.321</v>
          </cell>
        </row>
        <row r="48">
          <cell r="C48">
            <v>33608.320999999996</v>
          </cell>
          <cell r="D48">
            <v>4.0492790298714949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22">
          <cell r="H22">
            <v>7944.8658008658012</v>
          </cell>
        </row>
        <row r="23">
          <cell r="H23">
            <v>8685.7929472314718</v>
          </cell>
        </row>
      </sheetData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ел."/>
      <sheetName val="2012 Баланс  "/>
      <sheetName val="П1.30 - 18.04.11г."/>
      <sheetName val="П 1.3."/>
      <sheetName val="П 1.4."/>
      <sheetName val="П 1.5. "/>
      <sheetName val="П 1.6."/>
      <sheetName val="П 1.13."/>
      <sheetName val="П 1.15."/>
      <sheetName val="ОХР "/>
      <sheetName val="Прочие цеховые расходы"/>
      <sheetName val="П 1.18.2"/>
      <sheetName val="П 1.16 раб."/>
      <sheetName val="П 1.16 РСС цех."/>
      <sheetName val="ФЗП раб.10г.-11г."/>
      <sheetName val="в доле ФЗП РСС 10г.-11г."/>
      <sheetName val="ФЗП раб.9мес.10г."/>
      <sheetName val="П 1.16 АУП ОХР"/>
      <sheetName val="П 1.16 свод"/>
      <sheetName val="П 1.17"/>
      <sheetName val="П .1.17.1"/>
      <sheetName val="Амортизация 10г. - 11г."/>
      <sheetName val="Амортизация цех10г. - 11г."/>
      <sheetName val="П 1.17 цех.ЭМО"/>
      <sheetName val="П 1.17 ОХР"/>
      <sheetName val="П 1.17 свод"/>
      <sheetName val="П 1.20."/>
      <sheetName val="П 1.20.3."/>
      <sheetName val="П 1.21.3."/>
      <sheetName val="П 1.24"/>
      <sheetName val="С-Э и сет.расч.инд.межсет.2011"/>
      <sheetName val="УГРКЭ расч.по инд.межсет.тар.11"/>
      <sheetName val="П 1.25."/>
      <sheetName val="П 1.27"/>
      <sheetName val="П.2.1."/>
      <sheetName val="П.2.2."/>
      <sheetName val="Расчет"/>
      <sheetName val="Реестр вспомог.мат.2010-2011"/>
      <sheetName val="Работы и услуги 2010г."/>
      <sheetName val="РСЭО 2011г."/>
      <sheetName val="Распред.приб. на соц.разв.2011"/>
      <sheetName val="Цеховые  2008-2010 гг."/>
      <sheetName val="ОХР  (2)"/>
      <sheetName val="П 1.15. Расшифровка"/>
    </sheetNames>
    <sheetDataSet>
      <sheetData sheetId="0"/>
      <sheetData sheetId="1">
        <row r="30">
          <cell r="B30">
            <v>23680.321</v>
          </cell>
        </row>
      </sheetData>
      <sheetData sheetId="2"/>
      <sheetData sheetId="3"/>
      <sheetData sheetId="4">
        <row r="14">
          <cell r="D14">
            <v>30.807322580645163</v>
          </cell>
        </row>
        <row r="17">
          <cell r="D17">
            <v>1.1183058096774194</v>
          </cell>
          <cell r="F17">
            <v>0.99212644838709863</v>
          </cell>
          <cell r="G17">
            <v>4.6080322580645205E-2</v>
          </cell>
        </row>
        <row r="18">
          <cell r="H18">
            <v>7.0001066190093804</v>
          </cell>
        </row>
        <row r="26">
          <cell r="C26">
            <v>28.65081</v>
          </cell>
        </row>
        <row r="33">
          <cell r="P33">
            <v>15.579410000000001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2г.Бал.уточ.Энерг+подсобн.хоз."/>
      <sheetName val="активы"/>
      <sheetName val="НВВ на содержание"/>
      <sheetName val="тел."/>
      <sheetName val="Прилож.1-2012г."/>
      <sheetName val="2012 Баланс  "/>
      <sheetName val="стр-ра пол.отп. 2012г.июнь"/>
      <sheetName val="П1.30 - 07.06.11г."/>
      <sheetName val="П 1.3."/>
      <sheetName val="П 1.4."/>
      <sheetName val="П 1.5. "/>
      <sheetName val="П 1.6."/>
      <sheetName val="П 1.13."/>
      <sheetName val="П 1.15."/>
      <sheetName val="ОХР "/>
      <sheetName val="Прочие цеховые расходы"/>
      <sheetName val="П 1.18.2"/>
      <sheetName val="П 1.16 раб."/>
      <sheetName val="ФОТ 2011г. (2)"/>
      <sheetName val="П 1.16 РСС цех."/>
      <sheetName val="ФЗП раб.10г.-11г."/>
      <sheetName val="в доле ФЗП РСС 10г.-11г."/>
      <sheetName val="ФЗП раб.9мес.10г."/>
      <sheetName val="П 1.16 АУП ОХР"/>
      <sheetName val="П 1.16 свод"/>
      <sheetName val="П 1.17"/>
      <sheetName val="П .1.17.1"/>
      <sheetName val="П 1.17 (2)"/>
      <sheetName val="П .1.17.1 (2)"/>
      <sheetName val="Амортизация 11г. - 12г."/>
      <sheetName val="П 1.17 свод"/>
      <sheetName val="П 1.20."/>
      <sheetName val="П 1.20.3."/>
      <sheetName val="П 1.21.3."/>
      <sheetName val="П 1.24"/>
      <sheetName val="С-Э и сет.расч.инд.межсет.2011"/>
      <sheetName val="УГРКЭ расч.по инд.межсет.тар.11"/>
      <sheetName val="П 1.25."/>
      <sheetName val="П 1.27"/>
      <sheetName val="П.2.1."/>
      <sheetName val="П.2.2."/>
      <sheetName val="П.2.1.общ."/>
      <sheetName val="П.2.2. общ"/>
      <sheetName val="активы общ."/>
      <sheetName val="Расчет"/>
      <sheetName val="Реестр вспомог.мат.2010-2011"/>
      <sheetName val="Работы и услуги 2011г."/>
      <sheetName val="РСЭО 2012г."/>
      <sheetName val="Распред.приб. на соц.разв.2011"/>
      <sheetName val="Цеховые  2008-2010 гг."/>
      <sheetName val="ОХР  (2)"/>
      <sheetName val="П 1.17 цех."/>
      <sheetName val="Амортизация цех10г. - 11г."/>
      <sheetName val="П 1.17 ОХР"/>
      <sheetName val="П 1.15. Расшифровка"/>
      <sheetName val="Реестр всп.мат.2010 пром.+ПСХ"/>
      <sheetName val="Реестр вспомог.мат.2011 ПСХ"/>
    </sheetNames>
    <sheetDataSet>
      <sheetData sheetId="0"/>
      <sheetData sheetId="1"/>
      <sheetData sheetId="2"/>
      <sheetData sheetId="3"/>
      <sheetData sheetId="4"/>
      <sheetData sheetId="5">
        <row r="17">
          <cell r="B17">
            <v>9842.4599999999991</v>
          </cell>
        </row>
        <row r="30">
          <cell r="B30">
            <v>22141.869000000002</v>
          </cell>
          <cell r="C30">
            <v>21250.311000000002</v>
          </cell>
          <cell r="E30">
            <v>360</v>
          </cell>
          <cell r="F30">
            <v>531.55799999999999</v>
          </cell>
        </row>
      </sheetData>
      <sheetData sheetId="6">
        <row r="14">
          <cell r="B14">
            <v>9632.73</v>
          </cell>
          <cell r="C14">
            <v>4940.6400000000003</v>
          </cell>
          <cell r="E14">
            <v>4637.9399999999996</v>
          </cell>
          <cell r="F14">
            <v>54.15</v>
          </cell>
        </row>
        <row r="17">
          <cell r="B17">
            <v>209.73000000000002</v>
          </cell>
          <cell r="E17">
            <v>21.36</v>
          </cell>
          <cell r="F17">
            <v>188.37</v>
          </cell>
        </row>
      </sheetData>
      <sheetData sheetId="7"/>
      <sheetData sheetId="8"/>
      <sheetData sheetId="9">
        <row r="14">
          <cell r="I14">
            <v>33.929534000000004</v>
          </cell>
        </row>
        <row r="15">
          <cell r="J15">
            <v>0.46221499999999999</v>
          </cell>
        </row>
        <row r="17">
          <cell r="I17">
            <v>1.252</v>
          </cell>
          <cell r="K17">
            <v>1.0971560000000002</v>
          </cell>
          <cell r="L17">
            <v>5.8264000000000003E-2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ел."/>
      <sheetName val="Выпад.дох.за 2013г.в тар.2015"/>
      <sheetName val="Активы факт2011-2013гг"/>
      <sheetName val="Активы"/>
      <sheetName val="Расчет НВВ 2015-2019гг."/>
      <sheetName val="П 1.3."/>
      <sheetName val="П 1.4."/>
      <sheetName val="П 1.5. "/>
      <sheetName val="П 1.6."/>
      <sheetName val="П 1.13"/>
      <sheetName val="+++++ д.б. П 1.13 (2)"/>
      <sheetName val="1тсо кроме мрск"/>
      <sheetName val="2тсо кроме мрск"/>
      <sheetName val="2015 тсо кроме мрск"/>
      <sheetName val="2015 тсо НК Энергосб"/>
      <sheetName val="П1.30 -2015г., 1 и 2 п-е"/>
      <sheetName val="ОХР "/>
      <sheetName val="РСЭО факт за 2012г."/>
      <sheetName val="Услуги стор.орг..-2013г. "/>
      <sheetName val="Услуги стор.орг..-2014г."/>
      <sheetName val="++ Реестр всп.мат.2014 с ЛОЦ"/>
      <sheetName val="Реестр всп.мат.2013пром."/>
      <sheetName val="Реестр всп.мат.2012пром."/>
      <sheetName val="П 1.15."/>
      <sheetName val="П 1.18.2"/>
      <sheetName val="П 1.16 раб."/>
      <sheetName val="ФОТ 2014г. 2426+2496"/>
      <sheetName val="ФОТ 2014г. цех 2426"/>
      <sheetName val="ФОТ 2011г. цех 2496ПСХ"/>
      <sheetName val="ФЗП  эл.эн.2014г. 2426"/>
      <sheetName val="ФЗП  эл.эн.2014г. 2452"/>
      <sheetName val="ФОТ 2014г. свод 2452"/>
      <sheetName val=" +++ ФОТ 2014г. всего"/>
      <sheetName val="П 1.16 цех. (РСС+всп.раб.)"/>
      <sheetName val="П 1.16 АУП ОХР"/>
      <sheetName val="П 1.16 свод"/>
      <sheetName val="П 1.17"/>
      <sheetName val="П .1.17.1"/>
      <sheetName val="П 1.17ОХР "/>
      <sheetName val="П 1.17 свод"/>
      <sheetName val="П 1.17 (2)"/>
      <sheetName val="П .1.17.1 (2)"/>
      <sheetName val="Амортизация 13г. - 14г."/>
      <sheetName val="Амортизация 11г. - 12г. (2)"/>
      <sheetName val="П 1.20."/>
      <sheetName val="П 1.20.3."/>
      <sheetName val="П 1.21.3."/>
      <sheetName val="П 1.24"/>
      <sheetName val="П 1.25."/>
      <sheetName val="П 1.27"/>
      <sheetName val="П.2.1.пром.+ПСХ"/>
      <sheetName val="П.2.2.пром.+ПСХ"/>
      <sheetName val="активы ЛОЦ"/>
      <sheetName val="П.2.1.ЛОЦ"/>
      <sheetName val="П.2.2.ЛОЦ"/>
      <sheetName val="П.2.1."/>
      <sheetName val="П.2.2."/>
      <sheetName val="П.2.1.общ."/>
      <sheetName val="П.2.2. общ"/>
      <sheetName val="активы общ."/>
      <sheetName val="Расчет"/>
      <sheetName val="Выпад.2014г."/>
      <sheetName val="НВВ на содержание 2012г."/>
      <sheetName val="Реестр всп.мат.2010 пром.+ПСХ"/>
      <sheetName val="Реестр вспомог.мат.2011 ПСХ"/>
      <sheetName val="Работы и услуги 2011г."/>
      <sheetName val="РСЭО 2012г."/>
      <sheetName val="Распред.приб. на соц.разв.2011"/>
      <sheetName val="П 1.17 цех."/>
      <sheetName val="Амортизация цех10г. - 11г."/>
      <sheetName val="П 1.17 ОХР"/>
      <sheetName val="1 И 2 ПОЛУГОДИЕ 2012"/>
      <sheetName val="2012"/>
      <sheetName val="1п-е 2012"/>
      <sheetName val="2п-е 2012"/>
      <sheetName val="2012 год"/>
      <sheetName val="НВВ на содержание"/>
      <sheetName val="послед2012г.об.по стр-ре СЭ (2)"/>
      <sheetName val="12г.Бал.уточ.Энерг+подсобн.хоз."/>
      <sheetName val="Прилож.1-2012г."/>
      <sheetName val="2012 Баланс  "/>
      <sheetName val="стр-ра пол.отп. 2012г.июнь"/>
      <sheetName val="П1.30 - 07.06.11г."/>
      <sheetName val="П 1.15. Расшифровка"/>
      <sheetName val="С-Э и сет.расч.инд.межсет.2011"/>
      <sheetName val="изм.приказ 27 от 28.04.2011"/>
      <sheetName val="2012г.об.по стр-ре СЭ"/>
      <sheetName val="2012г.об.под факт2010"/>
      <sheetName val="пл.об расч.по инд.межсет.та (2)"/>
      <sheetName val="пл.об расч.по инд.межсет.тар.11"/>
      <sheetName val="УГРКЭ об.конрасч.по инд.межсет."/>
      <sheetName val="Прилож.2 структура 2011г.-2012г"/>
      <sheetName val="орг. Корр-ка НВВ 2014г."/>
      <sheetName val="П.2.1.ПСХ"/>
      <sheetName val="П.2.2.ПС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7">
          <cell r="L7">
            <v>815.29700000000003</v>
          </cell>
        </row>
      </sheetData>
      <sheetData sheetId="51"/>
      <sheetData sheetId="52"/>
      <sheetData sheetId="53">
        <row r="7">
          <cell r="L7">
            <v>17.97</v>
          </cell>
        </row>
      </sheetData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7030A0"/>
  </sheetPr>
  <dimension ref="A1:Q38"/>
  <sheetViews>
    <sheetView zoomScale="85" zoomScaleNormal="85" workbookViewId="0">
      <selection activeCell="C21" sqref="C21"/>
    </sheetView>
  </sheetViews>
  <sheetFormatPr defaultColWidth="9.109375" defaultRowHeight="15.6"/>
  <cols>
    <col min="1" max="1" width="5.88671875" style="1714" customWidth="1"/>
    <col min="2" max="2" width="24.109375" style="1714" customWidth="1"/>
    <col min="3" max="3" width="19.88671875" style="1714" customWidth="1"/>
    <col min="4" max="4" width="19.5546875" style="1714" customWidth="1"/>
    <col min="5" max="5" width="18.5546875" style="1714" customWidth="1"/>
    <col min="6" max="6" width="10.88671875" style="1714" customWidth="1"/>
    <col min="7" max="7" width="16.88671875" style="1714" customWidth="1"/>
    <col min="8" max="8" width="12.109375" style="1714" customWidth="1"/>
    <col min="9" max="9" width="18.88671875" style="1714" customWidth="1"/>
    <col min="10" max="10" width="9.109375" style="1714"/>
    <col min="11" max="11" width="11.88671875" style="1714" bestFit="1" customWidth="1"/>
    <col min="12" max="12" width="12.109375" style="1714" customWidth="1"/>
    <col min="13" max="13" width="9.109375" style="1714"/>
    <col min="14" max="14" width="11.33203125" style="1714" bestFit="1" customWidth="1"/>
    <col min="15" max="15" width="9.109375" style="1714"/>
    <col min="16" max="16" width="9.5546875" style="1714" bestFit="1" customWidth="1"/>
    <col min="17" max="17" width="11.33203125" style="1714" bestFit="1" customWidth="1"/>
    <col min="18" max="16384" width="9.109375" style="1714"/>
  </cols>
  <sheetData>
    <row r="1" spans="1:14">
      <c r="A1" s="1717"/>
      <c r="B1" s="1717"/>
      <c r="C1" s="1717"/>
      <c r="D1" s="1717"/>
      <c r="E1" s="1717"/>
      <c r="F1" s="1717"/>
      <c r="G1" s="1717"/>
      <c r="H1" s="1717"/>
      <c r="I1" s="1718" t="s">
        <v>302</v>
      </c>
    </row>
    <row r="2" spans="1:14" s="2411" customFormat="1" ht="13.8">
      <c r="A2" s="1719"/>
      <c r="B2" s="1717"/>
      <c r="C2" s="1717"/>
      <c r="D2" s="1717"/>
      <c r="E2" s="1717"/>
      <c r="F2" s="1717"/>
      <c r="G2" s="1717"/>
      <c r="H2" s="1717"/>
      <c r="I2" s="1717"/>
    </row>
    <row r="3" spans="1:14" s="2411" customFormat="1">
      <c r="A3" s="2755" t="s">
        <v>1860</v>
      </c>
      <c r="B3" s="2755"/>
      <c r="C3" s="2755"/>
      <c r="D3" s="2755"/>
      <c r="E3" s="2755"/>
      <c r="F3" s="2755"/>
      <c r="G3" s="2755"/>
      <c r="H3" s="2755"/>
      <c r="I3" s="2755"/>
    </row>
    <row r="4" spans="1:14" s="2411" customFormat="1">
      <c r="A4" s="2755" t="s">
        <v>1554</v>
      </c>
      <c r="B4" s="2755"/>
      <c r="C4" s="2755"/>
      <c r="D4" s="2755"/>
      <c r="E4" s="2755"/>
      <c r="F4" s="2755"/>
      <c r="G4" s="2755"/>
      <c r="H4" s="2755"/>
      <c r="I4" s="2755"/>
    </row>
    <row r="5" spans="1:14" s="2411" customFormat="1">
      <c r="A5" s="2755" t="s">
        <v>452</v>
      </c>
      <c r="B5" s="2755"/>
      <c r="C5" s="2755"/>
      <c r="D5" s="2755"/>
      <c r="E5" s="2755"/>
      <c r="F5" s="2755"/>
      <c r="G5" s="2755"/>
      <c r="H5" s="2755"/>
      <c r="I5" s="2755"/>
    </row>
    <row r="6" spans="1:14" s="2411" customFormat="1">
      <c r="A6" s="2755" t="s">
        <v>453</v>
      </c>
      <c r="B6" s="2755"/>
      <c r="C6" s="2755"/>
      <c r="D6" s="2755"/>
      <c r="E6" s="2755"/>
      <c r="F6" s="2755"/>
      <c r="G6" s="2755"/>
      <c r="H6" s="2755"/>
      <c r="I6" s="2755"/>
    </row>
    <row r="7" spans="1:14" s="2411" customFormat="1">
      <c r="A7" s="2755" t="s">
        <v>454</v>
      </c>
      <c r="B7" s="2755"/>
      <c r="C7" s="2755"/>
      <c r="D7" s="2755"/>
      <c r="E7" s="2755"/>
      <c r="F7" s="2755"/>
      <c r="G7" s="2755"/>
      <c r="H7" s="2755"/>
      <c r="I7" s="2755"/>
    </row>
    <row r="8" spans="1:14" s="2411" customFormat="1">
      <c r="A8" s="2755" t="s">
        <v>455</v>
      </c>
      <c r="B8" s="2755"/>
      <c r="C8" s="2755"/>
      <c r="D8" s="2755"/>
      <c r="E8" s="2755"/>
      <c r="F8" s="2755"/>
      <c r="G8" s="2755"/>
      <c r="H8" s="2755"/>
      <c r="I8" s="2755"/>
    </row>
    <row r="9" spans="1:14" s="2411" customFormat="1">
      <c r="A9" s="2755" t="s">
        <v>451</v>
      </c>
      <c r="B9" s="2755"/>
      <c r="C9" s="2755"/>
      <c r="D9" s="2755"/>
      <c r="E9" s="2755"/>
      <c r="F9" s="2755"/>
      <c r="G9" s="2755"/>
      <c r="H9" s="2755"/>
      <c r="I9" s="2755"/>
    </row>
    <row r="10" spans="1:14" s="2411" customFormat="1" ht="13.8">
      <c r="A10" s="1720"/>
      <c r="B10" s="1720"/>
      <c r="C10" s="1720"/>
      <c r="D10" s="1720"/>
      <c r="E10" s="1720"/>
      <c r="F10" s="1717"/>
      <c r="G10" s="1717"/>
      <c r="H10" s="1717"/>
      <c r="I10" s="1717"/>
    </row>
    <row r="11" spans="1:14" ht="27" customHeight="1">
      <c r="A11" s="2756" t="s">
        <v>951</v>
      </c>
      <c r="B11" s="2759" t="s">
        <v>1542</v>
      </c>
      <c r="C11" s="2760"/>
      <c r="D11" s="2760"/>
      <c r="E11" s="2760"/>
      <c r="F11" s="2760"/>
      <c r="G11" s="2761" t="s">
        <v>1543</v>
      </c>
      <c r="H11" s="2761"/>
      <c r="I11" s="2756" t="s">
        <v>1544</v>
      </c>
    </row>
    <row r="12" spans="1:14" ht="54.75" customHeight="1">
      <c r="A12" s="2757"/>
      <c r="B12" s="2762" t="s">
        <v>389</v>
      </c>
      <c r="C12" s="1721" t="s">
        <v>1545</v>
      </c>
      <c r="D12" s="1721" t="s">
        <v>1546</v>
      </c>
      <c r="E12" s="1722" t="s">
        <v>1547</v>
      </c>
      <c r="F12" s="1722" t="s">
        <v>1548</v>
      </c>
      <c r="G12" s="1722" t="s">
        <v>1549</v>
      </c>
      <c r="H12" s="1722" t="s">
        <v>1548</v>
      </c>
      <c r="I12" s="2758"/>
    </row>
    <row r="13" spans="1:14" s="1716" customFormat="1" ht="21" customHeight="1">
      <c r="A13" s="2758"/>
      <c r="B13" s="2763"/>
      <c r="C13" s="1723" t="s">
        <v>1550</v>
      </c>
      <c r="D13" s="1724" t="s">
        <v>87</v>
      </c>
      <c r="E13" s="1725" t="s">
        <v>1550</v>
      </c>
      <c r="F13" s="1726" t="s">
        <v>1551</v>
      </c>
      <c r="G13" s="1726" t="s">
        <v>199</v>
      </c>
      <c r="H13" s="1726" t="s">
        <v>1552</v>
      </c>
      <c r="I13" s="1727" t="s">
        <v>24</v>
      </c>
    </row>
    <row r="14" spans="1:14" s="1716" customFormat="1" ht="18" customHeight="1">
      <c r="A14" s="2409"/>
      <c r="B14" s="2410" t="s">
        <v>1536</v>
      </c>
      <c r="C14" s="1723"/>
      <c r="D14" s="1724"/>
      <c r="E14" s="1725"/>
      <c r="F14" s="1726"/>
      <c r="G14" s="1726"/>
      <c r="H14" s="1726"/>
      <c r="I14" s="1727"/>
    </row>
    <row r="15" spans="1:14" ht="25.5" customHeight="1">
      <c r="A15" s="1728" t="s">
        <v>76</v>
      </c>
      <c r="B15" s="1729" t="s">
        <v>1553</v>
      </c>
      <c r="C15" s="1730"/>
      <c r="D15" s="1731"/>
      <c r="E15" s="1732"/>
      <c r="F15" s="1733"/>
      <c r="G15" s="1733"/>
      <c r="H15" s="1733"/>
      <c r="I15" s="1734"/>
      <c r="L15" s="1892" t="s">
        <v>1611</v>
      </c>
      <c r="M15" s="1892" t="s">
        <v>1612</v>
      </c>
      <c r="N15" s="1892"/>
    </row>
    <row r="16" spans="1:14" s="1716" customFormat="1" ht="25.5" customHeight="1">
      <c r="A16" s="1727"/>
      <c r="B16" s="1735" t="s">
        <v>1555</v>
      </c>
      <c r="C16" s="1736">
        <v>10340.647999999999</v>
      </c>
      <c r="D16" s="1737">
        <v>4.6100000000000003</v>
      </c>
      <c r="E16" s="1738">
        <f>C16*D16%</f>
        <v>476.7038728</v>
      </c>
      <c r="F16" s="1739">
        <v>1730.59</v>
      </c>
      <c r="G16" s="2338">
        <v>3.8559999999999999</v>
      </c>
      <c r="H16" s="1741">
        <v>134589.17000000001</v>
      </c>
      <c r="I16" s="1742">
        <f>(E16*F16+G16*6*H16)/1000</f>
        <v>3938.8339923489521</v>
      </c>
      <c r="J16" s="1895">
        <f>(4+4+3.3+3+3+3)/6</f>
        <v>3.3833333333333333</v>
      </c>
      <c r="K16" s="1894" t="s">
        <v>1620</v>
      </c>
      <c r="L16" s="1874" t="s">
        <v>1609</v>
      </c>
      <c r="M16" s="1873"/>
      <c r="N16" s="1889"/>
    </row>
    <row r="17" spans="1:17" s="1716" customFormat="1" ht="25.5" customHeight="1">
      <c r="A17" s="1727"/>
      <c r="B17" s="1735" t="s">
        <v>1556</v>
      </c>
      <c r="C17" s="1736">
        <v>10257.906999999999</v>
      </c>
      <c r="D17" s="1737">
        <v>4.6100000000000003</v>
      </c>
      <c r="E17" s="1738">
        <f>C17*D17%</f>
        <v>472.88951270000001</v>
      </c>
      <c r="F17" s="1739">
        <v>1860.38</v>
      </c>
      <c r="G17" s="2338">
        <v>3.8559999999999999</v>
      </c>
      <c r="H17" s="1741">
        <v>144686.51999999999</v>
      </c>
      <c r="I17" s="1742">
        <f>(E17*F17+G17*6*H17)/1000</f>
        <v>4227.221518356826</v>
      </c>
      <c r="J17" s="1716">
        <f>(3+3+3.3+3.3+4+4)/6</f>
        <v>3.4333333333333336</v>
      </c>
      <c r="K17" s="1873">
        <v>147681.20000000001</v>
      </c>
      <c r="L17" s="1890" t="s">
        <v>1610</v>
      </c>
      <c r="M17" s="1891"/>
      <c r="N17" s="1891"/>
      <c r="O17" s="1891"/>
    </row>
    <row r="18" spans="1:17" s="1716" customFormat="1" ht="26.25" customHeight="1">
      <c r="A18" s="1727"/>
      <c r="B18" s="1735" t="s">
        <v>1834</v>
      </c>
      <c r="C18" s="1736">
        <f>SUM(C16:C17)</f>
        <v>20598.555</v>
      </c>
      <c r="D18" s="1737">
        <f>D17</f>
        <v>4.6100000000000003</v>
      </c>
      <c r="E18" s="1738">
        <f>SUM(E16:E17)</f>
        <v>949.59338550000007</v>
      </c>
      <c r="F18" s="1739"/>
      <c r="G18" s="1740">
        <f>(G16+G17)/2</f>
        <v>3.8559999999999999</v>
      </c>
      <c r="H18" s="1741"/>
      <c r="I18" s="1742">
        <f>SUM(I16:I17)</f>
        <v>8166.055510705778</v>
      </c>
      <c r="J18" s="1716">
        <f>(J16+J17)/2</f>
        <v>3.4083333333333332</v>
      </c>
      <c r="L18" s="2411">
        <v>11297.893397260224</v>
      </c>
      <c r="M18" s="1716" t="s">
        <v>970</v>
      </c>
      <c r="N18" s="2411">
        <f>755.798741*3+607.33827*3+605.65127*3+753.69935*3</f>
        <v>8167.4628929999999</v>
      </c>
      <c r="O18" s="1716" t="s">
        <v>249</v>
      </c>
      <c r="P18" s="1716">
        <f>191.45418+189.93766+146.00148+141.26387+127.32067+140.35634+162.60057+175.7855+189.4222+229.75914+193.11001+201.00106</f>
        <v>2088.0126799999998</v>
      </c>
      <c r="Q18" s="2411">
        <f>N18+P18</f>
        <v>10255.475573</v>
      </c>
    </row>
    <row r="19" spans="1:17" s="1716" customFormat="1" ht="33.75" customHeight="1">
      <c r="A19" s="1727" t="s">
        <v>77</v>
      </c>
      <c r="B19" s="1735" t="s">
        <v>303</v>
      </c>
      <c r="C19" s="1736"/>
      <c r="D19" s="1737"/>
      <c r="E19" s="1738"/>
      <c r="F19" s="1739"/>
      <c r="G19" s="1740"/>
      <c r="H19" s="1741"/>
      <c r="I19" s="1742"/>
      <c r="J19" s="1716">
        <f>(4+4+3.3+3+3+3+3+3+3.3+3.3+4+4)/12</f>
        <v>3.4083333333333332</v>
      </c>
      <c r="N19" s="2411">
        <f>(1923.99+1908.75+1467.22+1419.61+1279.49+1410.49)</f>
        <v>9409.5499999999993</v>
      </c>
    </row>
    <row r="20" spans="1:17" s="1716" customFormat="1" ht="25.5" customHeight="1">
      <c r="A20" s="1727"/>
      <c r="B20" s="1735" t="s">
        <v>1831</v>
      </c>
      <c r="C20" s="2421">
        <v>10829.473400000001</v>
      </c>
      <c r="D20" s="1737">
        <v>3.76</v>
      </c>
      <c r="E20" s="1738">
        <f>C20*D20%</f>
        <v>407.18819983999998</v>
      </c>
      <c r="F20" s="1739">
        <v>1860.38</v>
      </c>
      <c r="G20" s="2422">
        <v>2.7921900000000002</v>
      </c>
      <c r="H20" s="1741">
        <v>144686.51999999999</v>
      </c>
      <c r="I20" s="1742">
        <f>(E20*F20+G20*6*H20)/1000</f>
        <v>3181.478308891139</v>
      </c>
      <c r="L20" s="2411">
        <f>N19+N20</f>
        <v>20983.17</v>
      </c>
      <c r="N20" s="2411">
        <f>(1634.03+1766.53+1903.57+2308.93+1940.63+2019.93)</f>
        <v>11573.619999999999</v>
      </c>
    </row>
    <row r="21" spans="1:17" s="1716" customFormat="1" ht="25.5" customHeight="1">
      <c r="A21" s="1727"/>
      <c r="B21" s="1735" t="s">
        <v>1833</v>
      </c>
      <c r="C21" s="2421">
        <v>10213.060299999999</v>
      </c>
      <c r="D21" s="1737">
        <v>3.76</v>
      </c>
      <c r="E21" s="1738">
        <f>C21*D21%</f>
        <v>384.01106727999991</v>
      </c>
      <c r="F21" s="1739">
        <v>1962.7</v>
      </c>
      <c r="G21" s="2422">
        <v>2.7673899999999998</v>
      </c>
      <c r="H21" s="2413">
        <v>155541.57999999999</v>
      </c>
      <c r="I21" s="2199">
        <f>(E21*F21+G21*6*H21)/1000</f>
        <v>3336.3638002076555</v>
      </c>
      <c r="J21" s="2200"/>
      <c r="K21" s="2205" t="s">
        <v>1822</v>
      </c>
      <c r="L21" s="2204">
        <v>1.075</v>
      </c>
      <c r="M21" s="2198" t="s">
        <v>1821</v>
      </c>
      <c r="N21" s="2198"/>
      <c r="O21" s="2198"/>
    </row>
    <row r="22" spans="1:17" s="1716" customFormat="1" ht="33.75" customHeight="1">
      <c r="A22" s="1727"/>
      <c r="B22" s="1735" t="s">
        <v>1832</v>
      </c>
      <c r="C22" s="1736">
        <f>SUM(C20:C21)</f>
        <v>21042.5337</v>
      </c>
      <c r="D22" s="1737">
        <f>(D20+D21)/2</f>
        <v>3.76</v>
      </c>
      <c r="E22" s="1738">
        <f>C22*D22/100</f>
        <v>791.19926712000006</v>
      </c>
      <c r="F22" s="1739"/>
      <c r="G22" s="1740">
        <f>(G20+G21)/2</f>
        <v>2.7797900000000002</v>
      </c>
      <c r="H22" s="1741"/>
      <c r="I22" s="2199">
        <f>SUM(I20:I21)</f>
        <v>6517.842109098794</v>
      </c>
      <c r="J22" s="2201"/>
      <c r="K22" s="2202" t="s">
        <v>1600</v>
      </c>
      <c r="L22" s="2203">
        <f>H21/H20</f>
        <v>1.0750246809447073</v>
      </c>
      <c r="M22" s="2198">
        <v>9322.2000000000007</v>
      </c>
      <c r="N22" s="2198">
        <f>(E21*2030.3+G21*163310.63*6)/1000+I20</f>
        <v>6672.8012049239233</v>
      </c>
      <c r="P22" s="2411">
        <f>P18+N18</f>
        <v>10255.475573</v>
      </c>
    </row>
    <row r="23" spans="1:17" ht="12.75" customHeight="1">
      <c r="A23" s="1715"/>
      <c r="N23" s="2198">
        <f>M22-I22</f>
        <v>2804.3578909012067</v>
      </c>
    </row>
    <row r="24" spans="1:17">
      <c r="J24" s="2412" t="s">
        <v>1862</v>
      </c>
      <c r="K24" s="2412"/>
      <c r="L24" s="2412"/>
    </row>
    <row r="25" spans="1:17">
      <c r="A25" s="731" t="s">
        <v>731</v>
      </c>
      <c r="B25" s="667"/>
      <c r="C25" s="727"/>
      <c r="D25" s="732"/>
      <c r="E25" s="732"/>
      <c r="F25" s="732"/>
      <c r="G25" s="732"/>
      <c r="H25" s="1713"/>
      <c r="I25" s="671"/>
      <c r="L25" s="1871" t="s">
        <v>1599</v>
      </c>
      <c r="M25" s="1872"/>
      <c r="N25" s="1872"/>
    </row>
    <row r="26" spans="1:17">
      <c r="A26" s="731" t="s">
        <v>761</v>
      </c>
      <c r="B26" s="671"/>
      <c r="C26" s="727"/>
      <c r="D26" s="732"/>
      <c r="E26" s="729"/>
      <c r="F26" s="729"/>
      <c r="G26" s="732"/>
      <c r="H26" s="673" t="e">
        <f>#REF!</f>
        <v>#REF!</v>
      </c>
      <c r="I26" s="671"/>
      <c r="L26" s="1871">
        <v>10652.16</v>
      </c>
      <c r="M26" s="1872"/>
      <c r="N26" s="1872"/>
    </row>
    <row r="27" spans="1:17">
      <c r="L27" s="1870"/>
      <c r="M27" s="1870"/>
      <c r="N27" s="1870"/>
    </row>
    <row r="29" spans="1:17">
      <c r="C29" s="1714">
        <f>'П1.30 -2020г., 1 и 2 п-е'!C14</f>
        <v>12023.386130000001</v>
      </c>
      <c r="D29" s="2197">
        <f>'П1.30 -2020г., 1 и 2 п-е'!D14</f>
        <v>2.9805483340791379</v>
      </c>
      <c r="L29" s="1994" t="s">
        <v>1690</v>
      </c>
      <c r="M29" s="1994"/>
      <c r="N29" s="1995" t="s">
        <v>970</v>
      </c>
      <c r="O29" s="1994"/>
      <c r="P29" s="1994"/>
      <c r="Q29" s="1994"/>
    </row>
    <row r="30" spans="1:17">
      <c r="C30" s="1714">
        <f>'П1.30 -2020г., 1 и 2 п-е'!E14</f>
        <v>10218.95419</v>
      </c>
      <c r="D30" s="2197">
        <f>'П1.30 -2020г., 1 и 2 п-е'!F14</f>
        <v>2.9806283340791375</v>
      </c>
      <c r="L30" s="1994"/>
      <c r="M30" s="1994"/>
      <c r="N30" s="1994">
        <f>2375.90731*6+2599.77984*6</f>
        <v>29854.122900000002</v>
      </c>
      <c r="O30" s="1994"/>
      <c r="P30" s="1994"/>
      <c r="Q30" s="1994"/>
    </row>
    <row r="31" spans="1:17">
      <c r="C31" s="1714">
        <f>'П1.30 -2020г., 1 и 2 п-е'!G14</f>
        <v>22242.340319999999</v>
      </c>
      <c r="D31" s="2197">
        <f>'П1.30 -2020г., 1 и 2 п-е'!H14</f>
        <v>2.980603334079138</v>
      </c>
      <c r="L31" s="1994"/>
      <c r="M31" s="1994"/>
      <c r="N31" s="1994" t="s">
        <v>249</v>
      </c>
      <c r="O31" s="1994"/>
      <c r="P31" s="1994"/>
      <c r="Q31" s="1994"/>
    </row>
    <row r="32" spans="1:17">
      <c r="L32" s="1994"/>
      <c r="M32" s="1994"/>
      <c r="N32" s="1994">
        <f>C18*D18/100*F16/1000</f>
        <v>1643.3568170124454</v>
      </c>
      <c r="O32" s="1994"/>
      <c r="P32" s="1994"/>
      <c r="Q32" s="1994"/>
    </row>
    <row r="33" spans="12:17">
      <c r="L33" s="1994"/>
      <c r="M33" s="1994"/>
      <c r="N33" s="1994" t="s">
        <v>372</v>
      </c>
      <c r="O33" s="1994"/>
      <c r="P33" s="1994"/>
      <c r="Q33" s="1994"/>
    </row>
    <row r="34" spans="12:17">
      <c r="L34" s="1994"/>
      <c r="M34" s="1994"/>
      <c r="N34" s="1994">
        <f>N30+N32</f>
        <v>31497.479717012448</v>
      </c>
      <c r="O34" s="1994"/>
      <c r="P34" s="1994"/>
      <c r="Q34" s="1994"/>
    </row>
    <row r="35" spans="12:17">
      <c r="L35" s="1994" t="s">
        <v>1692</v>
      </c>
      <c r="M35" s="1994"/>
      <c r="N35" s="1994"/>
      <c r="O35" s="1994"/>
      <c r="P35" s="1994"/>
      <c r="Q35" s="1994"/>
    </row>
    <row r="36" spans="12:17">
      <c r="L36" s="1994"/>
      <c r="M36" s="1994"/>
      <c r="N36" s="1994">
        <f>11916.4+11621.3</f>
        <v>23537.699999999997</v>
      </c>
      <c r="O36" s="1994"/>
      <c r="P36" s="1994"/>
      <c r="Q36" s="1994"/>
    </row>
    <row r="37" spans="12:17">
      <c r="L37" s="1994"/>
      <c r="M37" s="1994"/>
      <c r="N37" s="1994"/>
      <c r="O37" s="1994"/>
      <c r="P37" s="1994"/>
      <c r="Q37" s="1994"/>
    </row>
    <row r="38" spans="12:17">
      <c r="L38" s="1994" t="s">
        <v>1691</v>
      </c>
      <c r="M38" s="1994"/>
      <c r="N38" s="1994">
        <f>N36-N34</f>
        <v>-7959.7797170124504</v>
      </c>
      <c r="O38" s="1994"/>
      <c r="P38" s="1994"/>
      <c r="Q38" s="1994"/>
    </row>
  </sheetData>
  <mergeCells count="12">
    <mergeCell ref="A9:I9"/>
    <mergeCell ref="A11:A13"/>
    <mergeCell ref="B11:F11"/>
    <mergeCell ref="G11:H11"/>
    <mergeCell ref="I11:I12"/>
    <mergeCell ref="B12:B13"/>
    <mergeCell ref="A8:I8"/>
    <mergeCell ref="A3:I3"/>
    <mergeCell ref="A4:I4"/>
    <mergeCell ref="A5:I5"/>
    <mergeCell ref="A6:I6"/>
    <mergeCell ref="A7:I7"/>
  </mergeCells>
  <pageMargins left="0.98425196850393704" right="0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9" tint="0.59999389629810485"/>
  </sheetPr>
  <dimension ref="A1:T46"/>
  <sheetViews>
    <sheetView topLeftCell="E1" zoomScaleNormal="100" workbookViewId="0">
      <pane ySplit="5" topLeftCell="A16" activePane="bottomLeft" state="frozenSplit"/>
      <selection pane="bottomLeft" activeCell="Q32" sqref="Q32"/>
    </sheetView>
  </sheetViews>
  <sheetFormatPr defaultRowHeight="13.2"/>
  <cols>
    <col min="1" max="1" width="14.88671875" style="2000" customWidth="1"/>
    <col min="2" max="2" width="10.33203125" style="2000" bestFit="1" customWidth="1"/>
    <col min="3" max="3" width="11.33203125" style="2000" customWidth="1"/>
    <col min="4" max="4" width="16.88671875" style="2000" customWidth="1"/>
    <col min="5" max="5" width="20.88671875" style="2000" customWidth="1"/>
    <col min="6" max="6" width="74.44140625" style="2000" customWidth="1"/>
    <col min="7" max="7" width="26.109375" style="2000" customWidth="1"/>
    <col min="8" max="8" width="17.88671875" style="1998" hidden="1" customWidth="1"/>
    <col min="9" max="9" width="15.44140625" style="2000" hidden="1" customWidth="1"/>
    <col min="10" max="10" width="10.33203125" style="2000" hidden="1" customWidth="1"/>
    <col min="11" max="13" width="10.109375" style="2000" hidden="1" customWidth="1"/>
    <col min="14" max="14" width="0" style="2000" hidden="1" customWidth="1"/>
    <col min="15" max="15" width="12" style="2000" hidden="1" customWidth="1"/>
    <col min="16" max="16" width="10.109375" style="2000" customWidth="1"/>
    <col min="17" max="17" width="13.44140625" style="2552" customWidth="1"/>
    <col min="18" max="18" width="13" style="2552" customWidth="1"/>
    <col min="19" max="19" width="11.5546875" style="2000" customWidth="1"/>
    <col min="20" max="20" width="10.109375" style="2000" bestFit="1" customWidth="1"/>
    <col min="21" max="21" width="9.109375" style="2000"/>
    <col min="22" max="22" width="10.109375" style="2000" bestFit="1" customWidth="1"/>
    <col min="23" max="256" width="9.109375" style="2000"/>
    <col min="257" max="257" width="14.88671875" style="2000" customWidth="1"/>
    <col min="258" max="258" width="10.33203125" style="2000" bestFit="1" customWidth="1"/>
    <col min="259" max="259" width="11.33203125" style="2000" customWidth="1"/>
    <col min="260" max="260" width="16.88671875" style="2000" customWidth="1"/>
    <col min="261" max="261" width="20.88671875" style="2000" customWidth="1"/>
    <col min="262" max="262" width="74.44140625" style="2000" customWidth="1"/>
    <col min="263" max="263" width="26.109375" style="2000" customWidth="1"/>
    <col min="264" max="271" width="0" style="2000" hidden="1" customWidth="1"/>
    <col min="272" max="272" width="10.109375" style="2000" customWidth="1"/>
    <col min="273" max="273" width="11.44140625" style="2000" customWidth="1"/>
    <col min="274" max="274" width="13" style="2000" customWidth="1"/>
    <col min="275" max="275" width="11.5546875" style="2000" customWidth="1"/>
    <col min="276" max="276" width="9.6640625" style="2000" bestFit="1" customWidth="1"/>
    <col min="277" max="277" width="9.109375" style="2000"/>
    <col min="278" max="278" width="10.109375" style="2000" bestFit="1" customWidth="1"/>
    <col min="279" max="512" width="9.109375" style="2000"/>
    <col min="513" max="513" width="14.88671875" style="2000" customWidth="1"/>
    <col min="514" max="514" width="10.33203125" style="2000" bestFit="1" customWidth="1"/>
    <col min="515" max="515" width="11.33203125" style="2000" customWidth="1"/>
    <col min="516" max="516" width="16.88671875" style="2000" customWidth="1"/>
    <col min="517" max="517" width="20.88671875" style="2000" customWidth="1"/>
    <col min="518" max="518" width="74.44140625" style="2000" customWidth="1"/>
    <col min="519" max="519" width="26.109375" style="2000" customWidth="1"/>
    <col min="520" max="527" width="0" style="2000" hidden="1" customWidth="1"/>
    <col min="528" max="528" width="10.109375" style="2000" customWidth="1"/>
    <col min="529" max="529" width="11.44140625" style="2000" customWidth="1"/>
    <col min="530" max="530" width="13" style="2000" customWidth="1"/>
    <col min="531" max="531" width="11.5546875" style="2000" customWidth="1"/>
    <col min="532" max="532" width="9.6640625" style="2000" bestFit="1" customWidth="1"/>
    <col min="533" max="533" width="9.109375" style="2000"/>
    <col min="534" max="534" width="10.109375" style="2000" bestFit="1" customWidth="1"/>
    <col min="535" max="768" width="9.109375" style="2000"/>
    <col min="769" max="769" width="14.88671875" style="2000" customWidth="1"/>
    <col min="770" max="770" width="10.33203125" style="2000" bestFit="1" customWidth="1"/>
    <col min="771" max="771" width="11.33203125" style="2000" customWidth="1"/>
    <col min="772" max="772" width="16.88671875" style="2000" customWidth="1"/>
    <col min="773" max="773" width="20.88671875" style="2000" customWidth="1"/>
    <col min="774" max="774" width="74.44140625" style="2000" customWidth="1"/>
    <col min="775" max="775" width="26.109375" style="2000" customWidth="1"/>
    <col min="776" max="783" width="0" style="2000" hidden="1" customWidth="1"/>
    <col min="784" max="784" width="10.109375" style="2000" customWidth="1"/>
    <col min="785" max="785" width="11.44140625" style="2000" customWidth="1"/>
    <col min="786" max="786" width="13" style="2000" customWidth="1"/>
    <col min="787" max="787" width="11.5546875" style="2000" customWidth="1"/>
    <col min="788" max="788" width="9.6640625" style="2000" bestFit="1" customWidth="1"/>
    <col min="789" max="789" width="9.109375" style="2000"/>
    <col min="790" max="790" width="10.109375" style="2000" bestFit="1" customWidth="1"/>
    <col min="791" max="1024" width="9.109375" style="2000"/>
    <col min="1025" max="1025" width="14.88671875" style="2000" customWidth="1"/>
    <col min="1026" max="1026" width="10.33203125" style="2000" bestFit="1" customWidth="1"/>
    <col min="1027" max="1027" width="11.33203125" style="2000" customWidth="1"/>
    <col min="1028" max="1028" width="16.88671875" style="2000" customWidth="1"/>
    <col min="1029" max="1029" width="20.88671875" style="2000" customWidth="1"/>
    <col min="1030" max="1030" width="74.44140625" style="2000" customWidth="1"/>
    <col min="1031" max="1031" width="26.109375" style="2000" customWidth="1"/>
    <col min="1032" max="1039" width="0" style="2000" hidden="1" customWidth="1"/>
    <col min="1040" max="1040" width="10.109375" style="2000" customWidth="1"/>
    <col min="1041" max="1041" width="11.44140625" style="2000" customWidth="1"/>
    <col min="1042" max="1042" width="13" style="2000" customWidth="1"/>
    <col min="1043" max="1043" width="11.5546875" style="2000" customWidth="1"/>
    <col min="1044" max="1044" width="9.6640625" style="2000" bestFit="1" customWidth="1"/>
    <col min="1045" max="1045" width="9.109375" style="2000"/>
    <col min="1046" max="1046" width="10.109375" style="2000" bestFit="1" customWidth="1"/>
    <col min="1047" max="1280" width="9.109375" style="2000"/>
    <col min="1281" max="1281" width="14.88671875" style="2000" customWidth="1"/>
    <col min="1282" max="1282" width="10.33203125" style="2000" bestFit="1" customWidth="1"/>
    <col min="1283" max="1283" width="11.33203125" style="2000" customWidth="1"/>
    <col min="1284" max="1284" width="16.88671875" style="2000" customWidth="1"/>
    <col min="1285" max="1285" width="20.88671875" style="2000" customWidth="1"/>
    <col min="1286" max="1286" width="74.44140625" style="2000" customWidth="1"/>
    <col min="1287" max="1287" width="26.109375" style="2000" customWidth="1"/>
    <col min="1288" max="1295" width="0" style="2000" hidden="1" customWidth="1"/>
    <col min="1296" max="1296" width="10.109375" style="2000" customWidth="1"/>
    <col min="1297" max="1297" width="11.44140625" style="2000" customWidth="1"/>
    <col min="1298" max="1298" width="13" style="2000" customWidth="1"/>
    <col min="1299" max="1299" width="11.5546875" style="2000" customWidth="1"/>
    <col min="1300" max="1300" width="9.6640625" style="2000" bestFit="1" customWidth="1"/>
    <col min="1301" max="1301" width="9.109375" style="2000"/>
    <col min="1302" max="1302" width="10.109375" style="2000" bestFit="1" customWidth="1"/>
    <col min="1303" max="1536" width="9.109375" style="2000"/>
    <col min="1537" max="1537" width="14.88671875" style="2000" customWidth="1"/>
    <col min="1538" max="1538" width="10.33203125" style="2000" bestFit="1" customWidth="1"/>
    <col min="1539" max="1539" width="11.33203125" style="2000" customWidth="1"/>
    <col min="1540" max="1540" width="16.88671875" style="2000" customWidth="1"/>
    <col min="1541" max="1541" width="20.88671875" style="2000" customWidth="1"/>
    <col min="1542" max="1542" width="74.44140625" style="2000" customWidth="1"/>
    <col min="1543" max="1543" width="26.109375" style="2000" customWidth="1"/>
    <col min="1544" max="1551" width="0" style="2000" hidden="1" customWidth="1"/>
    <col min="1552" max="1552" width="10.109375" style="2000" customWidth="1"/>
    <col min="1553" max="1553" width="11.44140625" style="2000" customWidth="1"/>
    <col min="1554" max="1554" width="13" style="2000" customWidth="1"/>
    <col min="1555" max="1555" width="11.5546875" style="2000" customWidth="1"/>
    <col min="1556" max="1556" width="9.6640625" style="2000" bestFit="1" customWidth="1"/>
    <col min="1557" max="1557" width="9.109375" style="2000"/>
    <col min="1558" max="1558" width="10.109375" style="2000" bestFit="1" customWidth="1"/>
    <col min="1559" max="1792" width="9.109375" style="2000"/>
    <col min="1793" max="1793" width="14.88671875" style="2000" customWidth="1"/>
    <col min="1794" max="1794" width="10.33203125" style="2000" bestFit="1" customWidth="1"/>
    <col min="1795" max="1795" width="11.33203125" style="2000" customWidth="1"/>
    <col min="1796" max="1796" width="16.88671875" style="2000" customWidth="1"/>
    <col min="1797" max="1797" width="20.88671875" style="2000" customWidth="1"/>
    <col min="1798" max="1798" width="74.44140625" style="2000" customWidth="1"/>
    <col min="1799" max="1799" width="26.109375" style="2000" customWidth="1"/>
    <col min="1800" max="1807" width="0" style="2000" hidden="1" customWidth="1"/>
    <col min="1808" max="1808" width="10.109375" style="2000" customWidth="1"/>
    <col min="1809" max="1809" width="11.44140625" style="2000" customWidth="1"/>
    <col min="1810" max="1810" width="13" style="2000" customWidth="1"/>
    <col min="1811" max="1811" width="11.5546875" style="2000" customWidth="1"/>
    <col min="1812" max="1812" width="9.6640625" style="2000" bestFit="1" customWidth="1"/>
    <col min="1813" max="1813" width="9.109375" style="2000"/>
    <col min="1814" max="1814" width="10.109375" style="2000" bestFit="1" customWidth="1"/>
    <col min="1815" max="2048" width="9.109375" style="2000"/>
    <col min="2049" max="2049" width="14.88671875" style="2000" customWidth="1"/>
    <col min="2050" max="2050" width="10.33203125" style="2000" bestFit="1" customWidth="1"/>
    <col min="2051" max="2051" width="11.33203125" style="2000" customWidth="1"/>
    <col min="2052" max="2052" width="16.88671875" style="2000" customWidth="1"/>
    <col min="2053" max="2053" width="20.88671875" style="2000" customWidth="1"/>
    <col min="2054" max="2054" width="74.44140625" style="2000" customWidth="1"/>
    <col min="2055" max="2055" width="26.109375" style="2000" customWidth="1"/>
    <col min="2056" max="2063" width="0" style="2000" hidden="1" customWidth="1"/>
    <col min="2064" max="2064" width="10.109375" style="2000" customWidth="1"/>
    <col min="2065" max="2065" width="11.44140625" style="2000" customWidth="1"/>
    <col min="2066" max="2066" width="13" style="2000" customWidth="1"/>
    <col min="2067" max="2067" width="11.5546875" style="2000" customWidth="1"/>
    <col min="2068" max="2068" width="9.6640625" style="2000" bestFit="1" customWidth="1"/>
    <col min="2069" max="2069" width="9.109375" style="2000"/>
    <col min="2070" max="2070" width="10.109375" style="2000" bestFit="1" customWidth="1"/>
    <col min="2071" max="2304" width="9.109375" style="2000"/>
    <col min="2305" max="2305" width="14.88671875" style="2000" customWidth="1"/>
    <col min="2306" max="2306" width="10.33203125" style="2000" bestFit="1" customWidth="1"/>
    <col min="2307" max="2307" width="11.33203125" style="2000" customWidth="1"/>
    <col min="2308" max="2308" width="16.88671875" style="2000" customWidth="1"/>
    <col min="2309" max="2309" width="20.88671875" style="2000" customWidth="1"/>
    <col min="2310" max="2310" width="74.44140625" style="2000" customWidth="1"/>
    <col min="2311" max="2311" width="26.109375" style="2000" customWidth="1"/>
    <col min="2312" max="2319" width="0" style="2000" hidden="1" customWidth="1"/>
    <col min="2320" max="2320" width="10.109375" style="2000" customWidth="1"/>
    <col min="2321" max="2321" width="11.44140625" style="2000" customWidth="1"/>
    <col min="2322" max="2322" width="13" style="2000" customWidth="1"/>
    <col min="2323" max="2323" width="11.5546875" style="2000" customWidth="1"/>
    <col min="2324" max="2324" width="9.6640625" style="2000" bestFit="1" customWidth="1"/>
    <col min="2325" max="2325" width="9.109375" style="2000"/>
    <col min="2326" max="2326" width="10.109375" style="2000" bestFit="1" customWidth="1"/>
    <col min="2327" max="2560" width="9.109375" style="2000"/>
    <col min="2561" max="2561" width="14.88671875" style="2000" customWidth="1"/>
    <col min="2562" max="2562" width="10.33203125" style="2000" bestFit="1" customWidth="1"/>
    <col min="2563" max="2563" width="11.33203125" style="2000" customWidth="1"/>
    <col min="2564" max="2564" width="16.88671875" style="2000" customWidth="1"/>
    <col min="2565" max="2565" width="20.88671875" style="2000" customWidth="1"/>
    <col min="2566" max="2566" width="74.44140625" style="2000" customWidth="1"/>
    <col min="2567" max="2567" width="26.109375" style="2000" customWidth="1"/>
    <col min="2568" max="2575" width="0" style="2000" hidden="1" customWidth="1"/>
    <col min="2576" max="2576" width="10.109375" style="2000" customWidth="1"/>
    <col min="2577" max="2577" width="11.44140625" style="2000" customWidth="1"/>
    <col min="2578" max="2578" width="13" style="2000" customWidth="1"/>
    <col min="2579" max="2579" width="11.5546875" style="2000" customWidth="1"/>
    <col min="2580" max="2580" width="9.6640625" style="2000" bestFit="1" customWidth="1"/>
    <col min="2581" max="2581" width="9.109375" style="2000"/>
    <col min="2582" max="2582" width="10.109375" style="2000" bestFit="1" customWidth="1"/>
    <col min="2583" max="2816" width="9.109375" style="2000"/>
    <col min="2817" max="2817" width="14.88671875" style="2000" customWidth="1"/>
    <col min="2818" max="2818" width="10.33203125" style="2000" bestFit="1" customWidth="1"/>
    <col min="2819" max="2819" width="11.33203125" style="2000" customWidth="1"/>
    <col min="2820" max="2820" width="16.88671875" style="2000" customWidth="1"/>
    <col min="2821" max="2821" width="20.88671875" style="2000" customWidth="1"/>
    <col min="2822" max="2822" width="74.44140625" style="2000" customWidth="1"/>
    <col min="2823" max="2823" width="26.109375" style="2000" customWidth="1"/>
    <col min="2824" max="2831" width="0" style="2000" hidden="1" customWidth="1"/>
    <col min="2832" max="2832" width="10.109375" style="2000" customWidth="1"/>
    <col min="2833" max="2833" width="11.44140625" style="2000" customWidth="1"/>
    <col min="2834" max="2834" width="13" style="2000" customWidth="1"/>
    <col min="2835" max="2835" width="11.5546875" style="2000" customWidth="1"/>
    <col min="2836" max="2836" width="9.6640625" style="2000" bestFit="1" customWidth="1"/>
    <col min="2837" max="2837" width="9.109375" style="2000"/>
    <col min="2838" max="2838" width="10.109375" style="2000" bestFit="1" customWidth="1"/>
    <col min="2839" max="3072" width="9.109375" style="2000"/>
    <col min="3073" max="3073" width="14.88671875" style="2000" customWidth="1"/>
    <col min="3074" max="3074" width="10.33203125" style="2000" bestFit="1" customWidth="1"/>
    <col min="3075" max="3075" width="11.33203125" style="2000" customWidth="1"/>
    <col min="3076" max="3076" width="16.88671875" style="2000" customWidth="1"/>
    <col min="3077" max="3077" width="20.88671875" style="2000" customWidth="1"/>
    <col min="3078" max="3078" width="74.44140625" style="2000" customWidth="1"/>
    <col min="3079" max="3079" width="26.109375" style="2000" customWidth="1"/>
    <col min="3080" max="3087" width="0" style="2000" hidden="1" customWidth="1"/>
    <col min="3088" max="3088" width="10.109375" style="2000" customWidth="1"/>
    <col min="3089" max="3089" width="11.44140625" style="2000" customWidth="1"/>
    <col min="3090" max="3090" width="13" style="2000" customWidth="1"/>
    <col min="3091" max="3091" width="11.5546875" style="2000" customWidth="1"/>
    <col min="3092" max="3092" width="9.6640625" style="2000" bestFit="1" customWidth="1"/>
    <col min="3093" max="3093" width="9.109375" style="2000"/>
    <col min="3094" max="3094" width="10.109375" style="2000" bestFit="1" customWidth="1"/>
    <col min="3095" max="3328" width="9.109375" style="2000"/>
    <col min="3329" max="3329" width="14.88671875" style="2000" customWidth="1"/>
    <col min="3330" max="3330" width="10.33203125" style="2000" bestFit="1" customWidth="1"/>
    <col min="3331" max="3331" width="11.33203125" style="2000" customWidth="1"/>
    <col min="3332" max="3332" width="16.88671875" style="2000" customWidth="1"/>
    <col min="3333" max="3333" width="20.88671875" style="2000" customWidth="1"/>
    <col min="3334" max="3334" width="74.44140625" style="2000" customWidth="1"/>
    <col min="3335" max="3335" width="26.109375" style="2000" customWidth="1"/>
    <col min="3336" max="3343" width="0" style="2000" hidden="1" customWidth="1"/>
    <col min="3344" max="3344" width="10.109375" style="2000" customWidth="1"/>
    <col min="3345" max="3345" width="11.44140625" style="2000" customWidth="1"/>
    <col min="3346" max="3346" width="13" style="2000" customWidth="1"/>
    <col min="3347" max="3347" width="11.5546875" style="2000" customWidth="1"/>
    <col min="3348" max="3348" width="9.6640625" style="2000" bestFit="1" customWidth="1"/>
    <col min="3349" max="3349" width="9.109375" style="2000"/>
    <col min="3350" max="3350" width="10.109375" style="2000" bestFit="1" customWidth="1"/>
    <col min="3351" max="3584" width="9.109375" style="2000"/>
    <col min="3585" max="3585" width="14.88671875" style="2000" customWidth="1"/>
    <col min="3586" max="3586" width="10.33203125" style="2000" bestFit="1" customWidth="1"/>
    <col min="3587" max="3587" width="11.33203125" style="2000" customWidth="1"/>
    <col min="3588" max="3588" width="16.88671875" style="2000" customWidth="1"/>
    <col min="3589" max="3589" width="20.88671875" style="2000" customWidth="1"/>
    <col min="3590" max="3590" width="74.44140625" style="2000" customWidth="1"/>
    <col min="3591" max="3591" width="26.109375" style="2000" customWidth="1"/>
    <col min="3592" max="3599" width="0" style="2000" hidden="1" customWidth="1"/>
    <col min="3600" max="3600" width="10.109375" style="2000" customWidth="1"/>
    <col min="3601" max="3601" width="11.44140625" style="2000" customWidth="1"/>
    <col min="3602" max="3602" width="13" style="2000" customWidth="1"/>
    <col min="3603" max="3603" width="11.5546875" style="2000" customWidth="1"/>
    <col min="3604" max="3604" width="9.6640625" style="2000" bestFit="1" customWidth="1"/>
    <col min="3605" max="3605" width="9.109375" style="2000"/>
    <col min="3606" max="3606" width="10.109375" style="2000" bestFit="1" customWidth="1"/>
    <col min="3607" max="3840" width="9.109375" style="2000"/>
    <col min="3841" max="3841" width="14.88671875" style="2000" customWidth="1"/>
    <col min="3842" max="3842" width="10.33203125" style="2000" bestFit="1" customWidth="1"/>
    <col min="3843" max="3843" width="11.33203125" style="2000" customWidth="1"/>
    <col min="3844" max="3844" width="16.88671875" style="2000" customWidth="1"/>
    <col min="3845" max="3845" width="20.88671875" style="2000" customWidth="1"/>
    <col min="3846" max="3846" width="74.44140625" style="2000" customWidth="1"/>
    <col min="3847" max="3847" width="26.109375" style="2000" customWidth="1"/>
    <col min="3848" max="3855" width="0" style="2000" hidden="1" customWidth="1"/>
    <col min="3856" max="3856" width="10.109375" style="2000" customWidth="1"/>
    <col min="3857" max="3857" width="11.44140625" style="2000" customWidth="1"/>
    <col min="3858" max="3858" width="13" style="2000" customWidth="1"/>
    <col min="3859" max="3859" width="11.5546875" style="2000" customWidth="1"/>
    <col min="3860" max="3860" width="9.6640625" style="2000" bestFit="1" customWidth="1"/>
    <col min="3861" max="3861" width="9.109375" style="2000"/>
    <col min="3862" max="3862" width="10.109375" style="2000" bestFit="1" customWidth="1"/>
    <col min="3863" max="4096" width="9.109375" style="2000"/>
    <col min="4097" max="4097" width="14.88671875" style="2000" customWidth="1"/>
    <col min="4098" max="4098" width="10.33203125" style="2000" bestFit="1" customWidth="1"/>
    <col min="4099" max="4099" width="11.33203125" style="2000" customWidth="1"/>
    <col min="4100" max="4100" width="16.88671875" style="2000" customWidth="1"/>
    <col min="4101" max="4101" width="20.88671875" style="2000" customWidth="1"/>
    <col min="4102" max="4102" width="74.44140625" style="2000" customWidth="1"/>
    <col min="4103" max="4103" width="26.109375" style="2000" customWidth="1"/>
    <col min="4104" max="4111" width="0" style="2000" hidden="1" customWidth="1"/>
    <col min="4112" max="4112" width="10.109375" style="2000" customWidth="1"/>
    <col min="4113" max="4113" width="11.44140625" style="2000" customWidth="1"/>
    <col min="4114" max="4114" width="13" style="2000" customWidth="1"/>
    <col min="4115" max="4115" width="11.5546875" style="2000" customWidth="1"/>
    <col min="4116" max="4116" width="9.6640625" style="2000" bestFit="1" customWidth="1"/>
    <col min="4117" max="4117" width="9.109375" style="2000"/>
    <col min="4118" max="4118" width="10.109375" style="2000" bestFit="1" customWidth="1"/>
    <col min="4119" max="4352" width="9.109375" style="2000"/>
    <col min="4353" max="4353" width="14.88671875" style="2000" customWidth="1"/>
    <col min="4354" max="4354" width="10.33203125" style="2000" bestFit="1" customWidth="1"/>
    <col min="4355" max="4355" width="11.33203125" style="2000" customWidth="1"/>
    <col min="4356" max="4356" width="16.88671875" style="2000" customWidth="1"/>
    <col min="4357" max="4357" width="20.88671875" style="2000" customWidth="1"/>
    <col min="4358" max="4358" width="74.44140625" style="2000" customWidth="1"/>
    <col min="4359" max="4359" width="26.109375" style="2000" customWidth="1"/>
    <col min="4360" max="4367" width="0" style="2000" hidden="1" customWidth="1"/>
    <col min="4368" max="4368" width="10.109375" style="2000" customWidth="1"/>
    <col min="4369" max="4369" width="11.44140625" style="2000" customWidth="1"/>
    <col min="4370" max="4370" width="13" style="2000" customWidth="1"/>
    <col min="4371" max="4371" width="11.5546875" style="2000" customWidth="1"/>
    <col min="4372" max="4372" width="9.6640625" style="2000" bestFit="1" customWidth="1"/>
    <col min="4373" max="4373" width="9.109375" style="2000"/>
    <col min="4374" max="4374" width="10.109375" style="2000" bestFit="1" customWidth="1"/>
    <col min="4375" max="4608" width="9.109375" style="2000"/>
    <col min="4609" max="4609" width="14.88671875" style="2000" customWidth="1"/>
    <col min="4610" max="4610" width="10.33203125" style="2000" bestFit="1" customWidth="1"/>
    <col min="4611" max="4611" width="11.33203125" style="2000" customWidth="1"/>
    <col min="4612" max="4612" width="16.88671875" style="2000" customWidth="1"/>
    <col min="4613" max="4613" width="20.88671875" style="2000" customWidth="1"/>
    <col min="4614" max="4614" width="74.44140625" style="2000" customWidth="1"/>
    <col min="4615" max="4615" width="26.109375" style="2000" customWidth="1"/>
    <col min="4616" max="4623" width="0" style="2000" hidden="1" customWidth="1"/>
    <col min="4624" max="4624" width="10.109375" style="2000" customWidth="1"/>
    <col min="4625" max="4625" width="11.44140625" style="2000" customWidth="1"/>
    <col min="4626" max="4626" width="13" style="2000" customWidth="1"/>
    <col min="4627" max="4627" width="11.5546875" style="2000" customWidth="1"/>
    <col min="4628" max="4628" width="9.6640625" style="2000" bestFit="1" customWidth="1"/>
    <col min="4629" max="4629" width="9.109375" style="2000"/>
    <col min="4630" max="4630" width="10.109375" style="2000" bestFit="1" customWidth="1"/>
    <col min="4631" max="4864" width="9.109375" style="2000"/>
    <col min="4865" max="4865" width="14.88671875" style="2000" customWidth="1"/>
    <col min="4866" max="4866" width="10.33203125" style="2000" bestFit="1" customWidth="1"/>
    <col min="4867" max="4867" width="11.33203125" style="2000" customWidth="1"/>
    <col min="4868" max="4868" width="16.88671875" style="2000" customWidth="1"/>
    <col min="4869" max="4869" width="20.88671875" style="2000" customWidth="1"/>
    <col min="4870" max="4870" width="74.44140625" style="2000" customWidth="1"/>
    <col min="4871" max="4871" width="26.109375" style="2000" customWidth="1"/>
    <col min="4872" max="4879" width="0" style="2000" hidden="1" customWidth="1"/>
    <col min="4880" max="4880" width="10.109375" style="2000" customWidth="1"/>
    <col min="4881" max="4881" width="11.44140625" style="2000" customWidth="1"/>
    <col min="4882" max="4882" width="13" style="2000" customWidth="1"/>
    <col min="4883" max="4883" width="11.5546875" style="2000" customWidth="1"/>
    <col min="4884" max="4884" width="9.6640625" style="2000" bestFit="1" customWidth="1"/>
    <col min="4885" max="4885" width="9.109375" style="2000"/>
    <col min="4886" max="4886" width="10.109375" style="2000" bestFit="1" customWidth="1"/>
    <col min="4887" max="5120" width="9.109375" style="2000"/>
    <col min="5121" max="5121" width="14.88671875" style="2000" customWidth="1"/>
    <col min="5122" max="5122" width="10.33203125" style="2000" bestFit="1" customWidth="1"/>
    <col min="5123" max="5123" width="11.33203125" style="2000" customWidth="1"/>
    <col min="5124" max="5124" width="16.88671875" style="2000" customWidth="1"/>
    <col min="5125" max="5125" width="20.88671875" style="2000" customWidth="1"/>
    <col min="5126" max="5126" width="74.44140625" style="2000" customWidth="1"/>
    <col min="5127" max="5127" width="26.109375" style="2000" customWidth="1"/>
    <col min="5128" max="5135" width="0" style="2000" hidden="1" customWidth="1"/>
    <col min="5136" max="5136" width="10.109375" style="2000" customWidth="1"/>
    <col min="5137" max="5137" width="11.44140625" style="2000" customWidth="1"/>
    <col min="5138" max="5138" width="13" style="2000" customWidth="1"/>
    <col min="5139" max="5139" width="11.5546875" style="2000" customWidth="1"/>
    <col min="5140" max="5140" width="9.6640625" style="2000" bestFit="1" customWidth="1"/>
    <col min="5141" max="5141" width="9.109375" style="2000"/>
    <col min="5142" max="5142" width="10.109375" style="2000" bestFit="1" customWidth="1"/>
    <col min="5143" max="5376" width="9.109375" style="2000"/>
    <col min="5377" max="5377" width="14.88671875" style="2000" customWidth="1"/>
    <col min="5378" max="5378" width="10.33203125" style="2000" bestFit="1" customWidth="1"/>
    <col min="5379" max="5379" width="11.33203125" style="2000" customWidth="1"/>
    <col min="5380" max="5380" width="16.88671875" style="2000" customWidth="1"/>
    <col min="5381" max="5381" width="20.88671875" style="2000" customWidth="1"/>
    <col min="5382" max="5382" width="74.44140625" style="2000" customWidth="1"/>
    <col min="5383" max="5383" width="26.109375" style="2000" customWidth="1"/>
    <col min="5384" max="5391" width="0" style="2000" hidden="1" customWidth="1"/>
    <col min="5392" max="5392" width="10.109375" style="2000" customWidth="1"/>
    <col min="5393" max="5393" width="11.44140625" style="2000" customWidth="1"/>
    <col min="5394" max="5394" width="13" style="2000" customWidth="1"/>
    <col min="5395" max="5395" width="11.5546875" style="2000" customWidth="1"/>
    <col min="5396" max="5396" width="9.6640625" style="2000" bestFit="1" customWidth="1"/>
    <col min="5397" max="5397" width="9.109375" style="2000"/>
    <col min="5398" max="5398" width="10.109375" style="2000" bestFit="1" customWidth="1"/>
    <col min="5399" max="5632" width="9.109375" style="2000"/>
    <col min="5633" max="5633" width="14.88671875" style="2000" customWidth="1"/>
    <col min="5634" max="5634" width="10.33203125" style="2000" bestFit="1" customWidth="1"/>
    <col min="5635" max="5635" width="11.33203125" style="2000" customWidth="1"/>
    <col min="5636" max="5636" width="16.88671875" style="2000" customWidth="1"/>
    <col min="5637" max="5637" width="20.88671875" style="2000" customWidth="1"/>
    <col min="5638" max="5638" width="74.44140625" style="2000" customWidth="1"/>
    <col min="5639" max="5639" width="26.109375" style="2000" customWidth="1"/>
    <col min="5640" max="5647" width="0" style="2000" hidden="1" customWidth="1"/>
    <col min="5648" max="5648" width="10.109375" style="2000" customWidth="1"/>
    <col min="5649" max="5649" width="11.44140625" style="2000" customWidth="1"/>
    <col min="5650" max="5650" width="13" style="2000" customWidth="1"/>
    <col min="5651" max="5651" width="11.5546875" style="2000" customWidth="1"/>
    <col min="5652" max="5652" width="9.6640625" style="2000" bestFit="1" customWidth="1"/>
    <col min="5653" max="5653" width="9.109375" style="2000"/>
    <col min="5654" max="5654" width="10.109375" style="2000" bestFit="1" customWidth="1"/>
    <col min="5655" max="5888" width="9.109375" style="2000"/>
    <col min="5889" max="5889" width="14.88671875" style="2000" customWidth="1"/>
    <col min="5890" max="5890" width="10.33203125" style="2000" bestFit="1" customWidth="1"/>
    <col min="5891" max="5891" width="11.33203125" style="2000" customWidth="1"/>
    <col min="5892" max="5892" width="16.88671875" style="2000" customWidth="1"/>
    <col min="5893" max="5893" width="20.88671875" style="2000" customWidth="1"/>
    <col min="5894" max="5894" width="74.44140625" style="2000" customWidth="1"/>
    <col min="5895" max="5895" width="26.109375" style="2000" customWidth="1"/>
    <col min="5896" max="5903" width="0" style="2000" hidden="1" customWidth="1"/>
    <col min="5904" max="5904" width="10.109375" style="2000" customWidth="1"/>
    <col min="5905" max="5905" width="11.44140625" style="2000" customWidth="1"/>
    <col min="5906" max="5906" width="13" style="2000" customWidth="1"/>
    <col min="5907" max="5907" width="11.5546875" style="2000" customWidth="1"/>
    <col min="5908" max="5908" width="9.6640625" style="2000" bestFit="1" customWidth="1"/>
    <col min="5909" max="5909" width="9.109375" style="2000"/>
    <col min="5910" max="5910" width="10.109375" style="2000" bestFit="1" customWidth="1"/>
    <col min="5911" max="6144" width="9.109375" style="2000"/>
    <col min="6145" max="6145" width="14.88671875" style="2000" customWidth="1"/>
    <col min="6146" max="6146" width="10.33203125" style="2000" bestFit="1" customWidth="1"/>
    <col min="6147" max="6147" width="11.33203125" style="2000" customWidth="1"/>
    <col min="6148" max="6148" width="16.88671875" style="2000" customWidth="1"/>
    <col min="6149" max="6149" width="20.88671875" style="2000" customWidth="1"/>
    <col min="6150" max="6150" width="74.44140625" style="2000" customWidth="1"/>
    <col min="6151" max="6151" width="26.109375" style="2000" customWidth="1"/>
    <col min="6152" max="6159" width="0" style="2000" hidden="1" customWidth="1"/>
    <col min="6160" max="6160" width="10.109375" style="2000" customWidth="1"/>
    <col min="6161" max="6161" width="11.44140625" style="2000" customWidth="1"/>
    <col min="6162" max="6162" width="13" style="2000" customWidth="1"/>
    <col min="6163" max="6163" width="11.5546875" style="2000" customWidth="1"/>
    <col min="6164" max="6164" width="9.6640625" style="2000" bestFit="1" customWidth="1"/>
    <col min="6165" max="6165" width="9.109375" style="2000"/>
    <col min="6166" max="6166" width="10.109375" style="2000" bestFit="1" customWidth="1"/>
    <col min="6167" max="6400" width="9.109375" style="2000"/>
    <col min="6401" max="6401" width="14.88671875" style="2000" customWidth="1"/>
    <col min="6402" max="6402" width="10.33203125" style="2000" bestFit="1" customWidth="1"/>
    <col min="6403" max="6403" width="11.33203125" style="2000" customWidth="1"/>
    <col min="6404" max="6404" width="16.88671875" style="2000" customWidth="1"/>
    <col min="6405" max="6405" width="20.88671875" style="2000" customWidth="1"/>
    <col min="6406" max="6406" width="74.44140625" style="2000" customWidth="1"/>
    <col min="6407" max="6407" width="26.109375" style="2000" customWidth="1"/>
    <col min="6408" max="6415" width="0" style="2000" hidden="1" customWidth="1"/>
    <col min="6416" max="6416" width="10.109375" style="2000" customWidth="1"/>
    <col min="6417" max="6417" width="11.44140625" style="2000" customWidth="1"/>
    <col min="6418" max="6418" width="13" style="2000" customWidth="1"/>
    <col min="6419" max="6419" width="11.5546875" style="2000" customWidth="1"/>
    <col min="6420" max="6420" width="9.6640625" style="2000" bestFit="1" customWidth="1"/>
    <col min="6421" max="6421" width="9.109375" style="2000"/>
    <col min="6422" max="6422" width="10.109375" style="2000" bestFit="1" customWidth="1"/>
    <col min="6423" max="6656" width="9.109375" style="2000"/>
    <col min="6657" max="6657" width="14.88671875" style="2000" customWidth="1"/>
    <col min="6658" max="6658" width="10.33203125" style="2000" bestFit="1" customWidth="1"/>
    <col min="6659" max="6659" width="11.33203125" style="2000" customWidth="1"/>
    <col min="6660" max="6660" width="16.88671875" style="2000" customWidth="1"/>
    <col min="6661" max="6661" width="20.88671875" style="2000" customWidth="1"/>
    <col min="6662" max="6662" width="74.44140625" style="2000" customWidth="1"/>
    <col min="6663" max="6663" width="26.109375" style="2000" customWidth="1"/>
    <col min="6664" max="6671" width="0" style="2000" hidden="1" customWidth="1"/>
    <col min="6672" max="6672" width="10.109375" style="2000" customWidth="1"/>
    <col min="6673" max="6673" width="11.44140625" style="2000" customWidth="1"/>
    <col min="6674" max="6674" width="13" style="2000" customWidth="1"/>
    <col min="6675" max="6675" width="11.5546875" style="2000" customWidth="1"/>
    <col min="6676" max="6676" width="9.6640625" style="2000" bestFit="1" customWidth="1"/>
    <col min="6677" max="6677" width="9.109375" style="2000"/>
    <col min="6678" max="6678" width="10.109375" style="2000" bestFit="1" customWidth="1"/>
    <col min="6679" max="6912" width="9.109375" style="2000"/>
    <col min="6913" max="6913" width="14.88671875" style="2000" customWidth="1"/>
    <col min="6914" max="6914" width="10.33203125" style="2000" bestFit="1" customWidth="1"/>
    <col min="6915" max="6915" width="11.33203125" style="2000" customWidth="1"/>
    <col min="6916" max="6916" width="16.88671875" style="2000" customWidth="1"/>
    <col min="6917" max="6917" width="20.88671875" style="2000" customWidth="1"/>
    <col min="6918" max="6918" width="74.44140625" style="2000" customWidth="1"/>
    <col min="6919" max="6919" width="26.109375" style="2000" customWidth="1"/>
    <col min="6920" max="6927" width="0" style="2000" hidden="1" customWidth="1"/>
    <col min="6928" max="6928" width="10.109375" style="2000" customWidth="1"/>
    <col min="6929" max="6929" width="11.44140625" style="2000" customWidth="1"/>
    <col min="6930" max="6930" width="13" style="2000" customWidth="1"/>
    <col min="6931" max="6931" width="11.5546875" style="2000" customWidth="1"/>
    <col min="6932" max="6932" width="9.6640625" style="2000" bestFit="1" customWidth="1"/>
    <col min="6933" max="6933" width="9.109375" style="2000"/>
    <col min="6934" max="6934" width="10.109375" style="2000" bestFit="1" customWidth="1"/>
    <col min="6935" max="7168" width="9.109375" style="2000"/>
    <col min="7169" max="7169" width="14.88671875" style="2000" customWidth="1"/>
    <col min="7170" max="7170" width="10.33203125" style="2000" bestFit="1" customWidth="1"/>
    <col min="7171" max="7171" width="11.33203125" style="2000" customWidth="1"/>
    <col min="7172" max="7172" width="16.88671875" style="2000" customWidth="1"/>
    <col min="7173" max="7173" width="20.88671875" style="2000" customWidth="1"/>
    <col min="7174" max="7174" width="74.44140625" style="2000" customWidth="1"/>
    <col min="7175" max="7175" width="26.109375" style="2000" customWidth="1"/>
    <col min="7176" max="7183" width="0" style="2000" hidden="1" customWidth="1"/>
    <col min="7184" max="7184" width="10.109375" style="2000" customWidth="1"/>
    <col min="7185" max="7185" width="11.44140625" style="2000" customWidth="1"/>
    <col min="7186" max="7186" width="13" style="2000" customWidth="1"/>
    <col min="7187" max="7187" width="11.5546875" style="2000" customWidth="1"/>
    <col min="7188" max="7188" width="9.6640625" style="2000" bestFit="1" customWidth="1"/>
    <col min="7189" max="7189" width="9.109375" style="2000"/>
    <col min="7190" max="7190" width="10.109375" style="2000" bestFit="1" customWidth="1"/>
    <col min="7191" max="7424" width="9.109375" style="2000"/>
    <col min="7425" max="7425" width="14.88671875" style="2000" customWidth="1"/>
    <col min="7426" max="7426" width="10.33203125" style="2000" bestFit="1" customWidth="1"/>
    <col min="7427" max="7427" width="11.33203125" style="2000" customWidth="1"/>
    <col min="7428" max="7428" width="16.88671875" style="2000" customWidth="1"/>
    <col min="7429" max="7429" width="20.88671875" style="2000" customWidth="1"/>
    <col min="7430" max="7430" width="74.44140625" style="2000" customWidth="1"/>
    <col min="7431" max="7431" width="26.109375" style="2000" customWidth="1"/>
    <col min="7432" max="7439" width="0" style="2000" hidden="1" customWidth="1"/>
    <col min="7440" max="7440" width="10.109375" style="2000" customWidth="1"/>
    <col min="7441" max="7441" width="11.44140625" style="2000" customWidth="1"/>
    <col min="7442" max="7442" width="13" style="2000" customWidth="1"/>
    <col min="7443" max="7443" width="11.5546875" style="2000" customWidth="1"/>
    <col min="7444" max="7444" width="9.6640625" style="2000" bestFit="1" customWidth="1"/>
    <col min="7445" max="7445" width="9.109375" style="2000"/>
    <col min="7446" max="7446" width="10.109375" style="2000" bestFit="1" customWidth="1"/>
    <col min="7447" max="7680" width="9.109375" style="2000"/>
    <col min="7681" max="7681" width="14.88671875" style="2000" customWidth="1"/>
    <col min="7682" max="7682" width="10.33203125" style="2000" bestFit="1" customWidth="1"/>
    <col min="7683" max="7683" width="11.33203125" style="2000" customWidth="1"/>
    <col min="7684" max="7684" width="16.88671875" style="2000" customWidth="1"/>
    <col min="7685" max="7685" width="20.88671875" style="2000" customWidth="1"/>
    <col min="7686" max="7686" width="74.44140625" style="2000" customWidth="1"/>
    <col min="7687" max="7687" width="26.109375" style="2000" customWidth="1"/>
    <col min="7688" max="7695" width="0" style="2000" hidden="1" customWidth="1"/>
    <col min="7696" max="7696" width="10.109375" style="2000" customWidth="1"/>
    <col min="7697" max="7697" width="11.44140625" style="2000" customWidth="1"/>
    <col min="7698" max="7698" width="13" style="2000" customWidth="1"/>
    <col min="7699" max="7699" width="11.5546875" style="2000" customWidth="1"/>
    <col min="7700" max="7700" width="9.6640625" style="2000" bestFit="1" customWidth="1"/>
    <col min="7701" max="7701" width="9.109375" style="2000"/>
    <col min="7702" max="7702" width="10.109375" style="2000" bestFit="1" customWidth="1"/>
    <col min="7703" max="7936" width="9.109375" style="2000"/>
    <col min="7937" max="7937" width="14.88671875" style="2000" customWidth="1"/>
    <col min="7938" max="7938" width="10.33203125" style="2000" bestFit="1" customWidth="1"/>
    <col min="7939" max="7939" width="11.33203125" style="2000" customWidth="1"/>
    <col min="7940" max="7940" width="16.88671875" style="2000" customWidth="1"/>
    <col min="7941" max="7941" width="20.88671875" style="2000" customWidth="1"/>
    <col min="7942" max="7942" width="74.44140625" style="2000" customWidth="1"/>
    <col min="7943" max="7943" width="26.109375" style="2000" customWidth="1"/>
    <col min="7944" max="7951" width="0" style="2000" hidden="1" customWidth="1"/>
    <col min="7952" max="7952" width="10.109375" style="2000" customWidth="1"/>
    <col min="7953" max="7953" width="11.44140625" style="2000" customWidth="1"/>
    <col min="7954" max="7954" width="13" style="2000" customWidth="1"/>
    <col min="7955" max="7955" width="11.5546875" style="2000" customWidth="1"/>
    <col min="7956" max="7956" width="9.6640625" style="2000" bestFit="1" customWidth="1"/>
    <col min="7957" max="7957" width="9.109375" style="2000"/>
    <col min="7958" max="7958" width="10.109375" style="2000" bestFit="1" customWidth="1"/>
    <col min="7959" max="8192" width="9.109375" style="2000"/>
    <col min="8193" max="8193" width="14.88671875" style="2000" customWidth="1"/>
    <col min="8194" max="8194" width="10.33203125" style="2000" bestFit="1" customWidth="1"/>
    <col min="8195" max="8195" width="11.33203125" style="2000" customWidth="1"/>
    <col min="8196" max="8196" width="16.88671875" style="2000" customWidth="1"/>
    <col min="8197" max="8197" width="20.88671875" style="2000" customWidth="1"/>
    <col min="8198" max="8198" width="74.44140625" style="2000" customWidth="1"/>
    <col min="8199" max="8199" width="26.109375" style="2000" customWidth="1"/>
    <col min="8200" max="8207" width="0" style="2000" hidden="1" customWidth="1"/>
    <col min="8208" max="8208" width="10.109375" style="2000" customWidth="1"/>
    <col min="8209" max="8209" width="11.44140625" style="2000" customWidth="1"/>
    <col min="8210" max="8210" width="13" style="2000" customWidth="1"/>
    <col min="8211" max="8211" width="11.5546875" style="2000" customWidth="1"/>
    <col min="8212" max="8212" width="9.6640625" style="2000" bestFit="1" customWidth="1"/>
    <col min="8213" max="8213" width="9.109375" style="2000"/>
    <col min="8214" max="8214" width="10.109375" style="2000" bestFit="1" customWidth="1"/>
    <col min="8215" max="8448" width="9.109375" style="2000"/>
    <col min="8449" max="8449" width="14.88671875" style="2000" customWidth="1"/>
    <col min="8450" max="8450" width="10.33203125" style="2000" bestFit="1" customWidth="1"/>
    <col min="8451" max="8451" width="11.33203125" style="2000" customWidth="1"/>
    <col min="8452" max="8452" width="16.88671875" style="2000" customWidth="1"/>
    <col min="8453" max="8453" width="20.88671875" style="2000" customWidth="1"/>
    <col min="8454" max="8454" width="74.44140625" style="2000" customWidth="1"/>
    <col min="8455" max="8455" width="26.109375" style="2000" customWidth="1"/>
    <col min="8456" max="8463" width="0" style="2000" hidden="1" customWidth="1"/>
    <col min="8464" max="8464" width="10.109375" style="2000" customWidth="1"/>
    <col min="8465" max="8465" width="11.44140625" style="2000" customWidth="1"/>
    <col min="8466" max="8466" width="13" style="2000" customWidth="1"/>
    <col min="8467" max="8467" width="11.5546875" style="2000" customWidth="1"/>
    <col min="8468" max="8468" width="9.6640625" style="2000" bestFit="1" customWidth="1"/>
    <col min="8469" max="8469" width="9.109375" style="2000"/>
    <col min="8470" max="8470" width="10.109375" style="2000" bestFit="1" customWidth="1"/>
    <col min="8471" max="8704" width="9.109375" style="2000"/>
    <col min="8705" max="8705" width="14.88671875" style="2000" customWidth="1"/>
    <col min="8706" max="8706" width="10.33203125" style="2000" bestFit="1" customWidth="1"/>
    <col min="8707" max="8707" width="11.33203125" style="2000" customWidth="1"/>
    <col min="8708" max="8708" width="16.88671875" style="2000" customWidth="1"/>
    <col min="8709" max="8709" width="20.88671875" style="2000" customWidth="1"/>
    <col min="8710" max="8710" width="74.44140625" style="2000" customWidth="1"/>
    <col min="8711" max="8711" width="26.109375" style="2000" customWidth="1"/>
    <col min="8712" max="8719" width="0" style="2000" hidden="1" customWidth="1"/>
    <col min="8720" max="8720" width="10.109375" style="2000" customWidth="1"/>
    <col min="8721" max="8721" width="11.44140625" style="2000" customWidth="1"/>
    <col min="8722" max="8722" width="13" style="2000" customWidth="1"/>
    <col min="8723" max="8723" width="11.5546875" style="2000" customWidth="1"/>
    <col min="8724" max="8724" width="9.6640625" style="2000" bestFit="1" customWidth="1"/>
    <col min="8725" max="8725" width="9.109375" style="2000"/>
    <col min="8726" max="8726" width="10.109375" style="2000" bestFit="1" customWidth="1"/>
    <col min="8727" max="8960" width="9.109375" style="2000"/>
    <col min="8961" max="8961" width="14.88671875" style="2000" customWidth="1"/>
    <col min="8962" max="8962" width="10.33203125" style="2000" bestFit="1" customWidth="1"/>
    <col min="8963" max="8963" width="11.33203125" style="2000" customWidth="1"/>
    <col min="8964" max="8964" width="16.88671875" style="2000" customWidth="1"/>
    <col min="8965" max="8965" width="20.88671875" style="2000" customWidth="1"/>
    <col min="8966" max="8966" width="74.44140625" style="2000" customWidth="1"/>
    <col min="8967" max="8967" width="26.109375" style="2000" customWidth="1"/>
    <col min="8968" max="8975" width="0" style="2000" hidden="1" customWidth="1"/>
    <col min="8976" max="8976" width="10.109375" style="2000" customWidth="1"/>
    <col min="8977" max="8977" width="11.44140625" style="2000" customWidth="1"/>
    <col min="8978" max="8978" width="13" style="2000" customWidth="1"/>
    <col min="8979" max="8979" width="11.5546875" style="2000" customWidth="1"/>
    <col min="8980" max="8980" width="9.6640625" style="2000" bestFit="1" customWidth="1"/>
    <col min="8981" max="8981" width="9.109375" style="2000"/>
    <col min="8982" max="8982" width="10.109375" style="2000" bestFit="1" customWidth="1"/>
    <col min="8983" max="9216" width="9.109375" style="2000"/>
    <col min="9217" max="9217" width="14.88671875" style="2000" customWidth="1"/>
    <col min="9218" max="9218" width="10.33203125" style="2000" bestFit="1" customWidth="1"/>
    <col min="9219" max="9219" width="11.33203125" style="2000" customWidth="1"/>
    <col min="9220" max="9220" width="16.88671875" style="2000" customWidth="1"/>
    <col min="9221" max="9221" width="20.88671875" style="2000" customWidth="1"/>
    <col min="9222" max="9222" width="74.44140625" style="2000" customWidth="1"/>
    <col min="9223" max="9223" width="26.109375" style="2000" customWidth="1"/>
    <col min="9224" max="9231" width="0" style="2000" hidden="1" customWidth="1"/>
    <col min="9232" max="9232" width="10.109375" style="2000" customWidth="1"/>
    <col min="9233" max="9233" width="11.44140625" style="2000" customWidth="1"/>
    <col min="9234" max="9234" width="13" style="2000" customWidth="1"/>
    <col min="9235" max="9235" width="11.5546875" style="2000" customWidth="1"/>
    <col min="9236" max="9236" width="9.6640625" style="2000" bestFit="1" customWidth="1"/>
    <col min="9237" max="9237" width="9.109375" style="2000"/>
    <col min="9238" max="9238" width="10.109375" style="2000" bestFit="1" customWidth="1"/>
    <col min="9239" max="9472" width="9.109375" style="2000"/>
    <col min="9473" max="9473" width="14.88671875" style="2000" customWidth="1"/>
    <col min="9474" max="9474" width="10.33203125" style="2000" bestFit="1" customWidth="1"/>
    <col min="9475" max="9475" width="11.33203125" style="2000" customWidth="1"/>
    <col min="9476" max="9476" width="16.88671875" style="2000" customWidth="1"/>
    <col min="9477" max="9477" width="20.88671875" style="2000" customWidth="1"/>
    <col min="9478" max="9478" width="74.44140625" style="2000" customWidth="1"/>
    <col min="9479" max="9479" width="26.109375" style="2000" customWidth="1"/>
    <col min="9480" max="9487" width="0" style="2000" hidden="1" customWidth="1"/>
    <col min="9488" max="9488" width="10.109375" style="2000" customWidth="1"/>
    <col min="9489" max="9489" width="11.44140625" style="2000" customWidth="1"/>
    <col min="9490" max="9490" width="13" style="2000" customWidth="1"/>
    <col min="9491" max="9491" width="11.5546875" style="2000" customWidth="1"/>
    <col min="9492" max="9492" width="9.6640625" style="2000" bestFit="1" customWidth="1"/>
    <col min="9493" max="9493" width="9.109375" style="2000"/>
    <col min="9494" max="9494" width="10.109375" style="2000" bestFit="1" customWidth="1"/>
    <col min="9495" max="9728" width="9.109375" style="2000"/>
    <col min="9729" max="9729" width="14.88671875" style="2000" customWidth="1"/>
    <col min="9730" max="9730" width="10.33203125" style="2000" bestFit="1" customWidth="1"/>
    <col min="9731" max="9731" width="11.33203125" style="2000" customWidth="1"/>
    <col min="9732" max="9732" width="16.88671875" style="2000" customWidth="1"/>
    <col min="9733" max="9733" width="20.88671875" style="2000" customWidth="1"/>
    <col min="9734" max="9734" width="74.44140625" style="2000" customWidth="1"/>
    <col min="9735" max="9735" width="26.109375" style="2000" customWidth="1"/>
    <col min="9736" max="9743" width="0" style="2000" hidden="1" customWidth="1"/>
    <col min="9744" max="9744" width="10.109375" style="2000" customWidth="1"/>
    <col min="9745" max="9745" width="11.44140625" style="2000" customWidth="1"/>
    <col min="9746" max="9746" width="13" style="2000" customWidth="1"/>
    <col min="9747" max="9747" width="11.5546875" style="2000" customWidth="1"/>
    <col min="9748" max="9748" width="9.6640625" style="2000" bestFit="1" customWidth="1"/>
    <col min="9749" max="9749" width="9.109375" style="2000"/>
    <col min="9750" max="9750" width="10.109375" style="2000" bestFit="1" customWidth="1"/>
    <col min="9751" max="9984" width="9.109375" style="2000"/>
    <col min="9985" max="9985" width="14.88671875" style="2000" customWidth="1"/>
    <col min="9986" max="9986" width="10.33203125" style="2000" bestFit="1" customWidth="1"/>
    <col min="9987" max="9987" width="11.33203125" style="2000" customWidth="1"/>
    <col min="9988" max="9988" width="16.88671875" style="2000" customWidth="1"/>
    <col min="9989" max="9989" width="20.88671875" style="2000" customWidth="1"/>
    <col min="9990" max="9990" width="74.44140625" style="2000" customWidth="1"/>
    <col min="9991" max="9991" width="26.109375" style="2000" customWidth="1"/>
    <col min="9992" max="9999" width="0" style="2000" hidden="1" customWidth="1"/>
    <col min="10000" max="10000" width="10.109375" style="2000" customWidth="1"/>
    <col min="10001" max="10001" width="11.44140625" style="2000" customWidth="1"/>
    <col min="10002" max="10002" width="13" style="2000" customWidth="1"/>
    <col min="10003" max="10003" width="11.5546875" style="2000" customWidth="1"/>
    <col min="10004" max="10004" width="9.6640625" style="2000" bestFit="1" customWidth="1"/>
    <col min="10005" max="10005" width="9.109375" style="2000"/>
    <col min="10006" max="10006" width="10.109375" style="2000" bestFit="1" customWidth="1"/>
    <col min="10007" max="10240" width="9.109375" style="2000"/>
    <col min="10241" max="10241" width="14.88671875" style="2000" customWidth="1"/>
    <col min="10242" max="10242" width="10.33203125" style="2000" bestFit="1" customWidth="1"/>
    <col min="10243" max="10243" width="11.33203125" style="2000" customWidth="1"/>
    <col min="10244" max="10244" width="16.88671875" style="2000" customWidth="1"/>
    <col min="10245" max="10245" width="20.88671875" style="2000" customWidth="1"/>
    <col min="10246" max="10246" width="74.44140625" style="2000" customWidth="1"/>
    <col min="10247" max="10247" width="26.109375" style="2000" customWidth="1"/>
    <col min="10248" max="10255" width="0" style="2000" hidden="1" customWidth="1"/>
    <col min="10256" max="10256" width="10.109375" style="2000" customWidth="1"/>
    <col min="10257" max="10257" width="11.44140625" style="2000" customWidth="1"/>
    <col min="10258" max="10258" width="13" style="2000" customWidth="1"/>
    <col min="10259" max="10259" width="11.5546875" style="2000" customWidth="1"/>
    <col min="10260" max="10260" width="9.6640625" style="2000" bestFit="1" customWidth="1"/>
    <col min="10261" max="10261" width="9.109375" style="2000"/>
    <col min="10262" max="10262" width="10.109375" style="2000" bestFit="1" customWidth="1"/>
    <col min="10263" max="10496" width="9.109375" style="2000"/>
    <col min="10497" max="10497" width="14.88671875" style="2000" customWidth="1"/>
    <col min="10498" max="10498" width="10.33203125" style="2000" bestFit="1" customWidth="1"/>
    <col min="10499" max="10499" width="11.33203125" style="2000" customWidth="1"/>
    <col min="10500" max="10500" width="16.88671875" style="2000" customWidth="1"/>
    <col min="10501" max="10501" width="20.88671875" style="2000" customWidth="1"/>
    <col min="10502" max="10502" width="74.44140625" style="2000" customWidth="1"/>
    <col min="10503" max="10503" width="26.109375" style="2000" customWidth="1"/>
    <col min="10504" max="10511" width="0" style="2000" hidden="1" customWidth="1"/>
    <col min="10512" max="10512" width="10.109375" style="2000" customWidth="1"/>
    <col min="10513" max="10513" width="11.44140625" style="2000" customWidth="1"/>
    <col min="10514" max="10514" width="13" style="2000" customWidth="1"/>
    <col min="10515" max="10515" width="11.5546875" style="2000" customWidth="1"/>
    <col min="10516" max="10516" width="9.6640625" style="2000" bestFit="1" customWidth="1"/>
    <col min="10517" max="10517" width="9.109375" style="2000"/>
    <col min="10518" max="10518" width="10.109375" style="2000" bestFit="1" customWidth="1"/>
    <col min="10519" max="10752" width="9.109375" style="2000"/>
    <col min="10753" max="10753" width="14.88671875" style="2000" customWidth="1"/>
    <col min="10754" max="10754" width="10.33203125" style="2000" bestFit="1" customWidth="1"/>
    <col min="10755" max="10755" width="11.33203125" style="2000" customWidth="1"/>
    <col min="10756" max="10756" width="16.88671875" style="2000" customWidth="1"/>
    <col min="10757" max="10757" width="20.88671875" style="2000" customWidth="1"/>
    <col min="10758" max="10758" width="74.44140625" style="2000" customWidth="1"/>
    <col min="10759" max="10759" width="26.109375" style="2000" customWidth="1"/>
    <col min="10760" max="10767" width="0" style="2000" hidden="1" customWidth="1"/>
    <col min="10768" max="10768" width="10.109375" style="2000" customWidth="1"/>
    <col min="10769" max="10769" width="11.44140625" style="2000" customWidth="1"/>
    <col min="10770" max="10770" width="13" style="2000" customWidth="1"/>
    <col min="10771" max="10771" width="11.5546875" style="2000" customWidth="1"/>
    <col min="10772" max="10772" width="9.6640625" style="2000" bestFit="1" customWidth="1"/>
    <col min="10773" max="10773" width="9.109375" style="2000"/>
    <col min="10774" max="10774" width="10.109375" style="2000" bestFit="1" customWidth="1"/>
    <col min="10775" max="11008" width="9.109375" style="2000"/>
    <col min="11009" max="11009" width="14.88671875" style="2000" customWidth="1"/>
    <col min="11010" max="11010" width="10.33203125" style="2000" bestFit="1" customWidth="1"/>
    <col min="11011" max="11011" width="11.33203125" style="2000" customWidth="1"/>
    <col min="11012" max="11012" width="16.88671875" style="2000" customWidth="1"/>
    <col min="11013" max="11013" width="20.88671875" style="2000" customWidth="1"/>
    <col min="11014" max="11014" width="74.44140625" style="2000" customWidth="1"/>
    <col min="11015" max="11015" width="26.109375" style="2000" customWidth="1"/>
    <col min="11016" max="11023" width="0" style="2000" hidden="1" customWidth="1"/>
    <col min="11024" max="11024" width="10.109375" style="2000" customWidth="1"/>
    <col min="11025" max="11025" width="11.44140625" style="2000" customWidth="1"/>
    <col min="11026" max="11026" width="13" style="2000" customWidth="1"/>
    <col min="11027" max="11027" width="11.5546875" style="2000" customWidth="1"/>
    <col min="11028" max="11028" width="9.6640625" style="2000" bestFit="1" customWidth="1"/>
    <col min="11029" max="11029" width="9.109375" style="2000"/>
    <col min="11030" max="11030" width="10.109375" style="2000" bestFit="1" customWidth="1"/>
    <col min="11031" max="11264" width="9.109375" style="2000"/>
    <col min="11265" max="11265" width="14.88671875" style="2000" customWidth="1"/>
    <col min="11266" max="11266" width="10.33203125" style="2000" bestFit="1" customWidth="1"/>
    <col min="11267" max="11267" width="11.33203125" style="2000" customWidth="1"/>
    <col min="11268" max="11268" width="16.88671875" style="2000" customWidth="1"/>
    <col min="11269" max="11269" width="20.88671875" style="2000" customWidth="1"/>
    <col min="11270" max="11270" width="74.44140625" style="2000" customWidth="1"/>
    <col min="11271" max="11271" width="26.109375" style="2000" customWidth="1"/>
    <col min="11272" max="11279" width="0" style="2000" hidden="1" customWidth="1"/>
    <col min="11280" max="11280" width="10.109375" style="2000" customWidth="1"/>
    <col min="11281" max="11281" width="11.44140625" style="2000" customWidth="1"/>
    <col min="11282" max="11282" width="13" style="2000" customWidth="1"/>
    <col min="11283" max="11283" width="11.5546875" style="2000" customWidth="1"/>
    <col min="11284" max="11284" width="9.6640625" style="2000" bestFit="1" customWidth="1"/>
    <col min="11285" max="11285" width="9.109375" style="2000"/>
    <col min="11286" max="11286" width="10.109375" style="2000" bestFit="1" customWidth="1"/>
    <col min="11287" max="11520" width="9.109375" style="2000"/>
    <col min="11521" max="11521" width="14.88671875" style="2000" customWidth="1"/>
    <col min="11522" max="11522" width="10.33203125" style="2000" bestFit="1" customWidth="1"/>
    <col min="11523" max="11523" width="11.33203125" style="2000" customWidth="1"/>
    <col min="11524" max="11524" width="16.88671875" style="2000" customWidth="1"/>
    <col min="11525" max="11525" width="20.88671875" style="2000" customWidth="1"/>
    <col min="11526" max="11526" width="74.44140625" style="2000" customWidth="1"/>
    <col min="11527" max="11527" width="26.109375" style="2000" customWidth="1"/>
    <col min="11528" max="11535" width="0" style="2000" hidden="1" customWidth="1"/>
    <col min="11536" max="11536" width="10.109375" style="2000" customWidth="1"/>
    <col min="11537" max="11537" width="11.44140625" style="2000" customWidth="1"/>
    <col min="11538" max="11538" width="13" style="2000" customWidth="1"/>
    <col min="11539" max="11539" width="11.5546875" style="2000" customWidth="1"/>
    <col min="11540" max="11540" width="9.6640625" style="2000" bestFit="1" customWidth="1"/>
    <col min="11541" max="11541" width="9.109375" style="2000"/>
    <col min="11542" max="11542" width="10.109375" style="2000" bestFit="1" customWidth="1"/>
    <col min="11543" max="11776" width="9.109375" style="2000"/>
    <col min="11777" max="11777" width="14.88671875" style="2000" customWidth="1"/>
    <col min="11778" max="11778" width="10.33203125" style="2000" bestFit="1" customWidth="1"/>
    <col min="11779" max="11779" width="11.33203125" style="2000" customWidth="1"/>
    <col min="11780" max="11780" width="16.88671875" style="2000" customWidth="1"/>
    <col min="11781" max="11781" width="20.88671875" style="2000" customWidth="1"/>
    <col min="11782" max="11782" width="74.44140625" style="2000" customWidth="1"/>
    <col min="11783" max="11783" width="26.109375" style="2000" customWidth="1"/>
    <col min="11784" max="11791" width="0" style="2000" hidden="1" customWidth="1"/>
    <col min="11792" max="11792" width="10.109375" style="2000" customWidth="1"/>
    <col min="11793" max="11793" width="11.44140625" style="2000" customWidth="1"/>
    <col min="11794" max="11794" width="13" style="2000" customWidth="1"/>
    <col min="11795" max="11795" width="11.5546875" style="2000" customWidth="1"/>
    <col min="11796" max="11796" width="9.6640625" style="2000" bestFit="1" customWidth="1"/>
    <col min="11797" max="11797" width="9.109375" style="2000"/>
    <col min="11798" max="11798" width="10.109375" style="2000" bestFit="1" customWidth="1"/>
    <col min="11799" max="12032" width="9.109375" style="2000"/>
    <col min="12033" max="12033" width="14.88671875" style="2000" customWidth="1"/>
    <col min="12034" max="12034" width="10.33203125" style="2000" bestFit="1" customWidth="1"/>
    <col min="12035" max="12035" width="11.33203125" style="2000" customWidth="1"/>
    <col min="12036" max="12036" width="16.88671875" style="2000" customWidth="1"/>
    <col min="12037" max="12037" width="20.88671875" style="2000" customWidth="1"/>
    <col min="12038" max="12038" width="74.44140625" style="2000" customWidth="1"/>
    <col min="12039" max="12039" width="26.109375" style="2000" customWidth="1"/>
    <col min="12040" max="12047" width="0" style="2000" hidden="1" customWidth="1"/>
    <col min="12048" max="12048" width="10.109375" style="2000" customWidth="1"/>
    <col min="12049" max="12049" width="11.44140625" style="2000" customWidth="1"/>
    <col min="12050" max="12050" width="13" style="2000" customWidth="1"/>
    <col min="12051" max="12051" width="11.5546875" style="2000" customWidth="1"/>
    <col min="12052" max="12052" width="9.6640625" style="2000" bestFit="1" customWidth="1"/>
    <col min="12053" max="12053" width="9.109375" style="2000"/>
    <col min="12054" max="12054" width="10.109375" style="2000" bestFit="1" customWidth="1"/>
    <col min="12055" max="12288" width="9.109375" style="2000"/>
    <col min="12289" max="12289" width="14.88671875" style="2000" customWidth="1"/>
    <col min="12290" max="12290" width="10.33203125" style="2000" bestFit="1" customWidth="1"/>
    <col min="12291" max="12291" width="11.33203125" style="2000" customWidth="1"/>
    <col min="12292" max="12292" width="16.88671875" style="2000" customWidth="1"/>
    <col min="12293" max="12293" width="20.88671875" style="2000" customWidth="1"/>
    <col min="12294" max="12294" width="74.44140625" style="2000" customWidth="1"/>
    <col min="12295" max="12295" width="26.109375" style="2000" customWidth="1"/>
    <col min="12296" max="12303" width="0" style="2000" hidden="1" customWidth="1"/>
    <col min="12304" max="12304" width="10.109375" style="2000" customWidth="1"/>
    <col min="12305" max="12305" width="11.44140625" style="2000" customWidth="1"/>
    <col min="12306" max="12306" width="13" style="2000" customWidth="1"/>
    <col min="12307" max="12307" width="11.5546875" style="2000" customWidth="1"/>
    <col min="12308" max="12308" width="9.6640625" style="2000" bestFit="1" customWidth="1"/>
    <col min="12309" max="12309" width="9.109375" style="2000"/>
    <col min="12310" max="12310" width="10.109375" style="2000" bestFit="1" customWidth="1"/>
    <col min="12311" max="12544" width="9.109375" style="2000"/>
    <col min="12545" max="12545" width="14.88671875" style="2000" customWidth="1"/>
    <col min="12546" max="12546" width="10.33203125" style="2000" bestFit="1" customWidth="1"/>
    <col min="12547" max="12547" width="11.33203125" style="2000" customWidth="1"/>
    <col min="12548" max="12548" width="16.88671875" style="2000" customWidth="1"/>
    <col min="12549" max="12549" width="20.88671875" style="2000" customWidth="1"/>
    <col min="12550" max="12550" width="74.44140625" style="2000" customWidth="1"/>
    <col min="12551" max="12551" width="26.109375" style="2000" customWidth="1"/>
    <col min="12552" max="12559" width="0" style="2000" hidden="1" customWidth="1"/>
    <col min="12560" max="12560" width="10.109375" style="2000" customWidth="1"/>
    <col min="12561" max="12561" width="11.44140625" style="2000" customWidth="1"/>
    <col min="12562" max="12562" width="13" style="2000" customWidth="1"/>
    <col min="12563" max="12563" width="11.5546875" style="2000" customWidth="1"/>
    <col min="12564" max="12564" width="9.6640625" style="2000" bestFit="1" customWidth="1"/>
    <col min="12565" max="12565" width="9.109375" style="2000"/>
    <col min="12566" max="12566" width="10.109375" style="2000" bestFit="1" customWidth="1"/>
    <col min="12567" max="12800" width="9.109375" style="2000"/>
    <col min="12801" max="12801" width="14.88671875" style="2000" customWidth="1"/>
    <col min="12802" max="12802" width="10.33203125" style="2000" bestFit="1" customWidth="1"/>
    <col min="12803" max="12803" width="11.33203125" style="2000" customWidth="1"/>
    <col min="12804" max="12804" width="16.88671875" style="2000" customWidth="1"/>
    <col min="12805" max="12805" width="20.88671875" style="2000" customWidth="1"/>
    <col min="12806" max="12806" width="74.44140625" style="2000" customWidth="1"/>
    <col min="12807" max="12807" width="26.109375" style="2000" customWidth="1"/>
    <col min="12808" max="12815" width="0" style="2000" hidden="1" customWidth="1"/>
    <col min="12816" max="12816" width="10.109375" style="2000" customWidth="1"/>
    <col min="12817" max="12817" width="11.44140625" style="2000" customWidth="1"/>
    <col min="12818" max="12818" width="13" style="2000" customWidth="1"/>
    <col min="12819" max="12819" width="11.5546875" style="2000" customWidth="1"/>
    <col min="12820" max="12820" width="9.6640625" style="2000" bestFit="1" customWidth="1"/>
    <col min="12821" max="12821" width="9.109375" style="2000"/>
    <col min="12822" max="12822" width="10.109375" style="2000" bestFit="1" customWidth="1"/>
    <col min="12823" max="13056" width="9.109375" style="2000"/>
    <col min="13057" max="13057" width="14.88671875" style="2000" customWidth="1"/>
    <col min="13058" max="13058" width="10.33203125" style="2000" bestFit="1" customWidth="1"/>
    <col min="13059" max="13059" width="11.33203125" style="2000" customWidth="1"/>
    <col min="13060" max="13060" width="16.88671875" style="2000" customWidth="1"/>
    <col min="13061" max="13061" width="20.88671875" style="2000" customWidth="1"/>
    <col min="13062" max="13062" width="74.44140625" style="2000" customWidth="1"/>
    <col min="13063" max="13063" width="26.109375" style="2000" customWidth="1"/>
    <col min="13064" max="13071" width="0" style="2000" hidden="1" customWidth="1"/>
    <col min="13072" max="13072" width="10.109375" style="2000" customWidth="1"/>
    <col min="13073" max="13073" width="11.44140625" style="2000" customWidth="1"/>
    <col min="13074" max="13074" width="13" style="2000" customWidth="1"/>
    <col min="13075" max="13075" width="11.5546875" style="2000" customWidth="1"/>
    <col min="13076" max="13076" width="9.6640625" style="2000" bestFit="1" customWidth="1"/>
    <col min="13077" max="13077" width="9.109375" style="2000"/>
    <col min="13078" max="13078" width="10.109375" style="2000" bestFit="1" customWidth="1"/>
    <col min="13079" max="13312" width="9.109375" style="2000"/>
    <col min="13313" max="13313" width="14.88671875" style="2000" customWidth="1"/>
    <col min="13314" max="13314" width="10.33203125" style="2000" bestFit="1" customWidth="1"/>
    <col min="13315" max="13315" width="11.33203125" style="2000" customWidth="1"/>
    <col min="13316" max="13316" width="16.88671875" style="2000" customWidth="1"/>
    <col min="13317" max="13317" width="20.88671875" style="2000" customWidth="1"/>
    <col min="13318" max="13318" width="74.44140625" style="2000" customWidth="1"/>
    <col min="13319" max="13319" width="26.109375" style="2000" customWidth="1"/>
    <col min="13320" max="13327" width="0" style="2000" hidden="1" customWidth="1"/>
    <col min="13328" max="13328" width="10.109375" style="2000" customWidth="1"/>
    <col min="13329" max="13329" width="11.44140625" style="2000" customWidth="1"/>
    <col min="13330" max="13330" width="13" style="2000" customWidth="1"/>
    <col min="13331" max="13331" width="11.5546875" style="2000" customWidth="1"/>
    <col min="13332" max="13332" width="9.6640625" style="2000" bestFit="1" customWidth="1"/>
    <col min="13333" max="13333" width="9.109375" style="2000"/>
    <col min="13334" max="13334" width="10.109375" style="2000" bestFit="1" customWidth="1"/>
    <col min="13335" max="13568" width="9.109375" style="2000"/>
    <col min="13569" max="13569" width="14.88671875" style="2000" customWidth="1"/>
    <col min="13570" max="13570" width="10.33203125" style="2000" bestFit="1" customWidth="1"/>
    <col min="13571" max="13571" width="11.33203125" style="2000" customWidth="1"/>
    <col min="13572" max="13572" width="16.88671875" style="2000" customWidth="1"/>
    <col min="13573" max="13573" width="20.88671875" style="2000" customWidth="1"/>
    <col min="13574" max="13574" width="74.44140625" style="2000" customWidth="1"/>
    <col min="13575" max="13575" width="26.109375" style="2000" customWidth="1"/>
    <col min="13576" max="13583" width="0" style="2000" hidden="1" customWidth="1"/>
    <col min="13584" max="13584" width="10.109375" style="2000" customWidth="1"/>
    <col min="13585" max="13585" width="11.44140625" style="2000" customWidth="1"/>
    <col min="13586" max="13586" width="13" style="2000" customWidth="1"/>
    <col min="13587" max="13587" width="11.5546875" style="2000" customWidth="1"/>
    <col min="13588" max="13588" width="9.6640625" style="2000" bestFit="1" customWidth="1"/>
    <col min="13589" max="13589" width="9.109375" style="2000"/>
    <col min="13590" max="13590" width="10.109375" style="2000" bestFit="1" customWidth="1"/>
    <col min="13591" max="13824" width="9.109375" style="2000"/>
    <col min="13825" max="13825" width="14.88671875" style="2000" customWidth="1"/>
    <col min="13826" max="13826" width="10.33203125" style="2000" bestFit="1" customWidth="1"/>
    <col min="13827" max="13827" width="11.33203125" style="2000" customWidth="1"/>
    <col min="13828" max="13828" width="16.88671875" style="2000" customWidth="1"/>
    <col min="13829" max="13829" width="20.88671875" style="2000" customWidth="1"/>
    <col min="13830" max="13830" width="74.44140625" style="2000" customWidth="1"/>
    <col min="13831" max="13831" width="26.109375" style="2000" customWidth="1"/>
    <col min="13832" max="13839" width="0" style="2000" hidden="1" customWidth="1"/>
    <col min="13840" max="13840" width="10.109375" style="2000" customWidth="1"/>
    <col min="13841" max="13841" width="11.44140625" style="2000" customWidth="1"/>
    <col min="13842" max="13842" width="13" style="2000" customWidth="1"/>
    <col min="13843" max="13843" width="11.5546875" style="2000" customWidth="1"/>
    <col min="13844" max="13844" width="9.6640625" style="2000" bestFit="1" customWidth="1"/>
    <col min="13845" max="13845" width="9.109375" style="2000"/>
    <col min="13846" max="13846" width="10.109375" style="2000" bestFit="1" customWidth="1"/>
    <col min="13847" max="14080" width="9.109375" style="2000"/>
    <col min="14081" max="14081" width="14.88671875" style="2000" customWidth="1"/>
    <col min="14082" max="14082" width="10.33203125" style="2000" bestFit="1" customWidth="1"/>
    <col min="14083" max="14083" width="11.33203125" style="2000" customWidth="1"/>
    <col min="14084" max="14084" width="16.88671875" style="2000" customWidth="1"/>
    <col min="14085" max="14085" width="20.88671875" style="2000" customWidth="1"/>
    <col min="14086" max="14086" width="74.44140625" style="2000" customWidth="1"/>
    <col min="14087" max="14087" width="26.109375" style="2000" customWidth="1"/>
    <col min="14088" max="14095" width="0" style="2000" hidden="1" customWidth="1"/>
    <col min="14096" max="14096" width="10.109375" style="2000" customWidth="1"/>
    <col min="14097" max="14097" width="11.44140625" style="2000" customWidth="1"/>
    <col min="14098" max="14098" width="13" style="2000" customWidth="1"/>
    <col min="14099" max="14099" width="11.5546875" style="2000" customWidth="1"/>
    <col min="14100" max="14100" width="9.6640625" style="2000" bestFit="1" customWidth="1"/>
    <col min="14101" max="14101" width="9.109375" style="2000"/>
    <col min="14102" max="14102" width="10.109375" style="2000" bestFit="1" customWidth="1"/>
    <col min="14103" max="14336" width="9.109375" style="2000"/>
    <col min="14337" max="14337" width="14.88671875" style="2000" customWidth="1"/>
    <col min="14338" max="14338" width="10.33203125" style="2000" bestFit="1" customWidth="1"/>
    <col min="14339" max="14339" width="11.33203125" style="2000" customWidth="1"/>
    <col min="14340" max="14340" width="16.88671875" style="2000" customWidth="1"/>
    <col min="14341" max="14341" width="20.88671875" style="2000" customWidth="1"/>
    <col min="14342" max="14342" width="74.44140625" style="2000" customWidth="1"/>
    <col min="14343" max="14343" width="26.109375" style="2000" customWidth="1"/>
    <col min="14344" max="14351" width="0" style="2000" hidden="1" customWidth="1"/>
    <col min="14352" max="14352" width="10.109375" style="2000" customWidth="1"/>
    <col min="14353" max="14353" width="11.44140625" style="2000" customWidth="1"/>
    <col min="14354" max="14354" width="13" style="2000" customWidth="1"/>
    <col min="14355" max="14355" width="11.5546875" style="2000" customWidth="1"/>
    <col min="14356" max="14356" width="9.6640625" style="2000" bestFit="1" customWidth="1"/>
    <col min="14357" max="14357" width="9.109375" style="2000"/>
    <col min="14358" max="14358" width="10.109375" style="2000" bestFit="1" customWidth="1"/>
    <col min="14359" max="14592" width="9.109375" style="2000"/>
    <col min="14593" max="14593" width="14.88671875" style="2000" customWidth="1"/>
    <col min="14594" max="14594" width="10.33203125" style="2000" bestFit="1" customWidth="1"/>
    <col min="14595" max="14595" width="11.33203125" style="2000" customWidth="1"/>
    <col min="14596" max="14596" width="16.88671875" style="2000" customWidth="1"/>
    <col min="14597" max="14597" width="20.88671875" style="2000" customWidth="1"/>
    <col min="14598" max="14598" width="74.44140625" style="2000" customWidth="1"/>
    <col min="14599" max="14599" width="26.109375" style="2000" customWidth="1"/>
    <col min="14600" max="14607" width="0" style="2000" hidden="1" customWidth="1"/>
    <col min="14608" max="14608" width="10.109375" style="2000" customWidth="1"/>
    <col min="14609" max="14609" width="11.44140625" style="2000" customWidth="1"/>
    <col min="14610" max="14610" width="13" style="2000" customWidth="1"/>
    <col min="14611" max="14611" width="11.5546875" style="2000" customWidth="1"/>
    <col min="14612" max="14612" width="9.6640625" style="2000" bestFit="1" customWidth="1"/>
    <col min="14613" max="14613" width="9.109375" style="2000"/>
    <col min="14614" max="14614" width="10.109375" style="2000" bestFit="1" customWidth="1"/>
    <col min="14615" max="14848" width="9.109375" style="2000"/>
    <col min="14849" max="14849" width="14.88671875" style="2000" customWidth="1"/>
    <col min="14850" max="14850" width="10.33203125" style="2000" bestFit="1" customWidth="1"/>
    <col min="14851" max="14851" width="11.33203125" style="2000" customWidth="1"/>
    <col min="14852" max="14852" width="16.88671875" style="2000" customWidth="1"/>
    <col min="14853" max="14853" width="20.88671875" style="2000" customWidth="1"/>
    <col min="14854" max="14854" width="74.44140625" style="2000" customWidth="1"/>
    <col min="14855" max="14855" width="26.109375" style="2000" customWidth="1"/>
    <col min="14856" max="14863" width="0" style="2000" hidden="1" customWidth="1"/>
    <col min="14864" max="14864" width="10.109375" style="2000" customWidth="1"/>
    <col min="14865" max="14865" width="11.44140625" style="2000" customWidth="1"/>
    <col min="14866" max="14866" width="13" style="2000" customWidth="1"/>
    <col min="14867" max="14867" width="11.5546875" style="2000" customWidth="1"/>
    <col min="14868" max="14868" width="9.6640625" style="2000" bestFit="1" customWidth="1"/>
    <col min="14869" max="14869" width="9.109375" style="2000"/>
    <col min="14870" max="14870" width="10.109375" style="2000" bestFit="1" customWidth="1"/>
    <col min="14871" max="15104" width="9.109375" style="2000"/>
    <col min="15105" max="15105" width="14.88671875" style="2000" customWidth="1"/>
    <col min="15106" max="15106" width="10.33203125" style="2000" bestFit="1" customWidth="1"/>
    <col min="15107" max="15107" width="11.33203125" style="2000" customWidth="1"/>
    <col min="15108" max="15108" width="16.88671875" style="2000" customWidth="1"/>
    <col min="15109" max="15109" width="20.88671875" style="2000" customWidth="1"/>
    <col min="15110" max="15110" width="74.44140625" style="2000" customWidth="1"/>
    <col min="15111" max="15111" width="26.109375" style="2000" customWidth="1"/>
    <col min="15112" max="15119" width="0" style="2000" hidden="1" customWidth="1"/>
    <col min="15120" max="15120" width="10.109375" style="2000" customWidth="1"/>
    <col min="15121" max="15121" width="11.44140625" style="2000" customWidth="1"/>
    <col min="15122" max="15122" width="13" style="2000" customWidth="1"/>
    <col min="15123" max="15123" width="11.5546875" style="2000" customWidth="1"/>
    <col min="15124" max="15124" width="9.6640625" style="2000" bestFit="1" customWidth="1"/>
    <col min="15125" max="15125" width="9.109375" style="2000"/>
    <col min="15126" max="15126" width="10.109375" style="2000" bestFit="1" customWidth="1"/>
    <col min="15127" max="15360" width="9.109375" style="2000"/>
    <col min="15361" max="15361" width="14.88671875" style="2000" customWidth="1"/>
    <col min="15362" max="15362" width="10.33203125" style="2000" bestFit="1" customWidth="1"/>
    <col min="15363" max="15363" width="11.33203125" style="2000" customWidth="1"/>
    <col min="15364" max="15364" width="16.88671875" style="2000" customWidth="1"/>
    <col min="15365" max="15365" width="20.88671875" style="2000" customWidth="1"/>
    <col min="15366" max="15366" width="74.44140625" style="2000" customWidth="1"/>
    <col min="15367" max="15367" width="26.109375" style="2000" customWidth="1"/>
    <col min="15368" max="15375" width="0" style="2000" hidden="1" customWidth="1"/>
    <col min="15376" max="15376" width="10.109375" style="2000" customWidth="1"/>
    <col min="15377" max="15377" width="11.44140625" style="2000" customWidth="1"/>
    <col min="15378" max="15378" width="13" style="2000" customWidth="1"/>
    <col min="15379" max="15379" width="11.5546875" style="2000" customWidth="1"/>
    <col min="15380" max="15380" width="9.6640625" style="2000" bestFit="1" customWidth="1"/>
    <col min="15381" max="15381" width="9.109375" style="2000"/>
    <col min="15382" max="15382" width="10.109375" style="2000" bestFit="1" customWidth="1"/>
    <col min="15383" max="15616" width="9.109375" style="2000"/>
    <col min="15617" max="15617" width="14.88671875" style="2000" customWidth="1"/>
    <col min="15618" max="15618" width="10.33203125" style="2000" bestFit="1" customWidth="1"/>
    <col min="15619" max="15619" width="11.33203125" style="2000" customWidth="1"/>
    <col min="15620" max="15620" width="16.88671875" style="2000" customWidth="1"/>
    <col min="15621" max="15621" width="20.88671875" style="2000" customWidth="1"/>
    <col min="15622" max="15622" width="74.44140625" style="2000" customWidth="1"/>
    <col min="15623" max="15623" width="26.109375" style="2000" customWidth="1"/>
    <col min="15624" max="15631" width="0" style="2000" hidden="1" customWidth="1"/>
    <col min="15632" max="15632" width="10.109375" style="2000" customWidth="1"/>
    <col min="15633" max="15633" width="11.44140625" style="2000" customWidth="1"/>
    <col min="15634" max="15634" width="13" style="2000" customWidth="1"/>
    <col min="15635" max="15635" width="11.5546875" style="2000" customWidth="1"/>
    <col min="15636" max="15636" width="9.6640625" style="2000" bestFit="1" customWidth="1"/>
    <col min="15637" max="15637" width="9.109375" style="2000"/>
    <col min="15638" max="15638" width="10.109375" style="2000" bestFit="1" customWidth="1"/>
    <col min="15639" max="15872" width="9.109375" style="2000"/>
    <col min="15873" max="15873" width="14.88671875" style="2000" customWidth="1"/>
    <col min="15874" max="15874" width="10.33203125" style="2000" bestFit="1" customWidth="1"/>
    <col min="15875" max="15875" width="11.33203125" style="2000" customWidth="1"/>
    <col min="15876" max="15876" width="16.88671875" style="2000" customWidth="1"/>
    <col min="15877" max="15877" width="20.88671875" style="2000" customWidth="1"/>
    <col min="15878" max="15878" width="74.44140625" style="2000" customWidth="1"/>
    <col min="15879" max="15879" width="26.109375" style="2000" customWidth="1"/>
    <col min="15880" max="15887" width="0" style="2000" hidden="1" customWidth="1"/>
    <col min="15888" max="15888" width="10.109375" style="2000" customWidth="1"/>
    <col min="15889" max="15889" width="11.44140625" style="2000" customWidth="1"/>
    <col min="15890" max="15890" width="13" style="2000" customWidth="1"/>
    <col min="15891" max="15891" width="11.5546875" style="2000" customWidth="1"/>
    <col min="15892" max="15892" width="9.6640625" style="2000" bestFit="1" customWidth="1"/>
    <col min="15893" max="15893" width="9.109375" style="2000"/>
    <col min="15894" max="15894" width="10.109375" style="2000" bestFit="1" customWidth="1"/>
    <col min="15895" max="16128" width="9.109375" style="2000"/>
    <col min="16129" max="16129" width="14.88671875" style="2000" customWidth="1"/>
    <col min="16130" max="16130" width="10.33203125" style="2000" bestFit="1" customWidth="1"/>
    <col min="16131" max="16131" width="11.33203125" style="2000" customWidth="1"/>
    <col min="16132" max="16132" width="16.88671875" style="2000" customWidth="1"/>
    <col min="16133" max="16133" width="20.88671875" style="2000" customWidth="1"/>
    <col min="16134" max="16134" width="74.44140625" style="2000" customWidth="1"/>
    <col min="16135" max="16135" width="26.109375" style="2000" customWidth="1"/>
    <col min="16136" max="16143" width="0" style="2000" hidden="1" customWidth="1"/>
    <col min="16144" max="16144" width="10.109375" style="2000" customWidth="1"/>
    <col min="16145" max="16145" width="11.44140625" style="2000" customWidth="1"/>
    <col min="16146" max="16146" width="13" style="2000" customWidth="1"/>
    <col min="16147" max="16147" width="11.5546875" style="2000" customWidth="1"/>
    <col min="16148" max="16148" width="9.6640625" style="2000" bestFit="1" customWidth="1"/>
    <col min="16149" max="16149" width="9.109375" style="2000"/>
    <col min="16150" max="16150" width="10.109375" style="2000" bestFit="1" customWidth="1"/>
    <col min="16151" max="16384" width="9.109375" style="2000"/>
  </cols>
  <sheetData>
    <row r="1" spans="1:20" ht="21" customHeight="1">
      <c r="A1" s="1996" t="s">
        <v>1693</v>
      </c>
      <c r="B1" s="1997"/>
      <c r="C1" s="1997"/>
      <c r="D1" s="1997"/>
      <c r="E1" s="1997"/>
      <c r="F1" s="1997"/>
      <c r="G1" s="1997"/>
      <c r="I1" s="1999"/>
      <c r="S1" s="2001"/>
    </row>
    <row r="2" spans="1:20" ht="21" customHeight="1">
      <c r="A2" s="1996" t="s">
        <v>1880</v>
      </c>
      <c r="B2" s="1997"/>
      <c r="C2" s="1997"/>
      <c r="D2" s="1997"/>
      <c r="E2" s="1997"/>
      <c r="F2" s="1997"/>
      <c r="G2" s="1997"/>
      <c r="H2" s="2002" t="s">
        <v>1694</v>
      </c>
      <c r="I2" s="2003" t="s">
        <v>1695</v>
      </c>
      <c r="R2" s="2553"/>
      <c r="S2" s="2001"/>
    </row>
    <row r="3" spans="1:20" ht="21" customHeight="1">
      <c r="A3" s="1996" t="s">
        <v>1883</v>
      </c>
      <c r="B3" s="1997"/>
      <c r="C3" s="1997"/>
      <c r="D3" s="1997"/>
      <c r="E3" s="1997"/>
      <c r="F3" s="1997"/>
      <c r="G3" s="1997"/>
      <c r="H3" s="2004">
        <f>SUM(G12:G14)+G21</f>
        <v>17052.589999999997</v>
      </c>
      <c r="I3" s="2005">
        <f>SUM(G17:G20)+G22</f>
        <v>7877.17</v>
      </c>
    </row>
    <row r="4" spans="1:20" ht="13.5" customHeight="1">
      <c r="A4" s="1998" t="s">
        <v>1919</v>
      </c>
      <c r="H4" s="2007" t="s">
        <v>1696</v>
      </c>
      <c r="I4" s="2008">
        <f>G7</f>
        <v>11020.37</v>
      </c>
      <c r="Q4" s="2554" t="s">
        <v>1921</v>
      </c>
      <c r="R4" s="2554" t="s">
        <v>916</v>
      </c>
    </row>
    <row r="5" spans="1:20" ht="32.25" customHeight="1">
      <c r="A5" s="2009" t="s">
        <v>951</v>
      </c>
      <c r="B5" s="2764" t="s">
        <v>389</v>
      </c>
      <c r="C5" s="2765"/>
      <c r="D5" s="2765"/>
      <c r="E5" s="2765"/>
      <c r="F5" s="2765"/>
      <c r="G5" s="2010" t="s">
        <v>1697</v>
      </c>
      <c r="H5" s="2011" t="s">
        <v>1698</v>
      </c>
      <c r="I5" s="2012" t="e">
        <f>I4-#REF!</f>
        <v>#REF!</v>
      </c>
    </row>
    <row r="6" spans="1:20" ht="16.5" customHeight="1">
      <c r="A6" s="2009"/>
      <c r="B6" s="2468" t="s">
        <v>1892</v>
      </c>
      <c r="C6" s="2469"/>
      <c r="D6" s="2469"/>
      <c r="E6" s="2469"/>
      <c r="F6" s="2469"/>
      <c r="G6" s="2010"/>
      <c r="H6" s="2011"/>
      <c r="I6" s="2012"/>
    </row>
    <row r="7" spans="1:20" ht="25.5" customHeight="1">
      <c r="A7" s="2013" t="s">
        <v>76</v>
      </c>
      <c r="B7" s="2014" t="s">
        <v>1890</v>
      </c>
      <c r="C7" s="2015"/>
      <c r="D7" s="2015"/>
      <c r="E7" s="2015"/>
      <c r="F7" s="2015"/>
      <c r="G7" s="2463">
        <v>11020.37</v>
      </c>
      <c r="H7" s="1998">
        <v>2302.9</v>
      </c>
    </row>
    <row r="8" spans="1:20" ht="25.5" customHeight="1">
      <c r="A8" s="2016" t="s">
        <v>293</v>
      </c>
      <c r="B8" s="2014" t="s">
        <v>1889</v>
      </c>
      <c r="C8" s="2015"/>
      <c r="D8" s="2015"/>
      <c r="E8" s="2015"/>
      <c r="F8" s="2015"/>
      <c r="G8" s="2463">
        <v>8165.45</v>
      </c>
      <c r="H8" s="1998">
        <v>14184.805</v>
      </c>
    </row>
    <row r="9" spans="1:20" s="2006" customFormat="1" ht="25.5" customHeight="1">
      <c r="A9" s="2464" t="s">
        <v>294</v>
      </c>
      <c r="B9" s="2465" t="s">
        <v>1891</v>
      </c>
      <c r="C9" s="2466"/>
      <c r="D9" s="2466"/>
      <c r="E9" s="2466"/>
      <c r="F9" s="2466"/>
      <c r="G9" s="2467">
        <f>G7-G8</f>
        <v>2854.920000000001</v>
      </c>
      <c r="H9" s="1998">
        <v>14184.805</v>
      </c>
      <c r="Q9" s="2555"/>
      <c r="R9" s="2555"/>
    </row>
    <row r="10" spans="1:20" ht="18" customHeight="1">
      <c r="A10" s="2009"/>
      <c r="B10" s="2468" t="s">
        <v>1893</v>
      </c>
      <c r="C10" s="2469"/>
      <c r="D10" s="2469"/>
      <c r="E10" s="2469"/>
      <c r="F10" s="2469"/>
      <c r="G10" s="2010"/>
      <c r="H10" s="2011"/>
      <c r="I10" s="2012"/>
    </row>
    <row r="11" spans="1:20" ht="24.75" customHeight="1">
      <c r="A11" s="2464" t="s">
        <v>77</v>
      </c>
      <c r="B11" s="2470" t="s">
        <v>1898</v>
      </c>
      <c r="C11" s="2414"/>
      <c r="D11" s="2414"/>
      <c r="E11" s="2414"/>
      <c r="F11" s="2414"/>
      <c r="G11" s="2476">
        <f>SUM(G12:G14)</f>
        <v>16584.199999999997</v>
      </c>
      <c r="H11" s="2011"/>
      <c r="I11" s="2012"/>
      <c r="R11" s="2554" t="s">
        <v>1922</v>
      </c>
    </row>
    <row r="12" spans="1:20" ht="25.5" customHeight="1">
      <c r="A12" s="2013" t="s">
        <v>61</v>
      </c>
      <c r="B12" s="2471" t="s">
        <v>1882</v>
      </c>
      <c r="C12" s="2015"/>
      <c r="D12" s="2015"/>
      <c r="E12" s="2015"/>
      <c r="F12" s="2015"/>
      <c r="G12" s="2463">
        <v>13863.13</v>
      </c>
      <c r="H12" s="2472">
        <v>14184.805</v>
      </c>
      <c r="Q12" s="2553">
        <f>(1562692.98-489.19+1507438.53+1559332.1+1208328.25+932620.28+1067700.51+1022153.17+1073693.19+1078203.49+1257924.25+1688542.05+2360932.59)/1.18/1000</f>
        <v>13829.722203389832</v>
      </c>
      <c r="R12" s="2552">
        <f>(1562.96245+1507.73652+1559.56674+1208.5514+933.07772+1081.09326+1026.75988+1074.48587+1079.58811+1277.40177+1691.04973)</f>
        <v>14002.273450000002</v>
      </c>
    </row>
    <row r="13" spans="1:20" ht="23.1" customHeight="1">
      <c r="A13" s="2415" t="s">
        <v>62</v>
      </c>
      <c r="B13" s="2014" t="s">
        <v>1895</v>
      </c>
      <c r="C13" s="2017"/>
      <c r="D13" s="2017"/>
      <c r="E13" s="2017"/>
      <c r="F13" s="2017"/>
      <c r="G13" s="2029">
        <v>799.55</v>
      </c>
      <c r="H13" s="1998">
        <v>606.12</v>
      </c>
      <c r="Q13" s="2556">
        <f>(145756.41+126872.99+139815.9+114721.95+52305.62+63205.15+67877.2+64578.67+61157.47+46958.91+41523.89)/1.18/1000</f>
        <v>783.7069152542374</v>
      </c>
      <c r="S13" s="2001">
        <f>G13-Q13</f>
        <v>15.843084745762553</v>
      </c>
      <c r="T13" s="2553">
        <f>(145756.41+126872.99+139815.9+114721.95+52305.62+63205.15+67877.2+64578.67+61157.47+46958.91+41523.89)</f>
        <v>924774.16</v>
      </c>
    </row>
    <row r="14" spans="1:20" ht="23.1" customHeight="1">
      <c r="A14" s="2415" t="s">
        <v>63</v>
      </c>
      <c r="B14" s="2014" t="s">
        <v>1896</v>
      </c>
      <c r="C14" s="2017"/>
      <c r="D14" s="2017"/>
      <c r="E14" s="2017"/>
      <c r="F14" s="2017"/>
      <c r="G14" s="2029">
        <v>1921.52</v>
      </c>
      <c r="H14" s="2018">
        <v>8.85</v>
      </c>
      <c r="Q14" s="2553">
        <f>(330757+358286.49+225297.83+270986.84+240988.94+311394.18+245198.13)/1.18/1000</f>
        <v>1680.4317033898303</v>
      </c>
      <c r="R14" s="2553"/>
    </row>
    <row r="15" spans="1:20" ht="21.75" customHeight="1">
      <c r="A15" s="2464" t="s">
        <v>78</v>
      </c>
      <c r="B15" s="2470" t="s">
        <v>1894</v>
      </c>
      <c r="C15" s="2414"/>
      <c r="D15" s="2414"/>
      <c r="E15" s="2414"/>
      <c r="F15" s="2414"/>
      <c r="G15" s="2476">
        <f>SUM(G16:G22)</f>
        <v>16040.47</v>
      </c>
      <c r="H15" s="2011"/>
      <c r="I15" s="2012"/>
    </row>
    <row r="16" spans="1:20" ht="23.1" customHeight="1">
      <c r="A16" s="2016" t="s">
        <v>301</v>
      </c>
      <c r="B16" s="2025" t="s">
        <v>1897</v>
      </c>
      <c r="C16" s="2017"/>
      <c r="D16" s="2017"/>
      <c r="E16" s="2017"/>
      <c r="F16" s="2017"/>
      <c r="G16" s="2029">
        <v>7694.91</v>
      </c>
      <c r="H16" s="2018">
        <v>3495.9821700000002</v>
      </c>
      <c r="I16" s="2020"/>
      <c r="J16" s="2023">
        <v>1495.2</v>
      </c>
      <c r="K16" s="2024" t="s">
        <v>1289</v>
      </c>
      <c r="Q16" s="2553">
        <v>7639.4</v>
      </c>
      <c r="R16" s="2556">
        <f>(8916.47073-1)/1.18</f>
        <v>7555.4836694915248</v>
      </c>
      <c r="S16" s="2001">
        <f>G16-Q16</f>
        <v>55.510000000000218</v>
      </c>
    </row>
    <row r="17" spans="1:19" ht="23.1" customHeight="1">
      <c r="A17" s="2016" t="s">
        <v>97</v>
      </c>
      <c r="B17" s="2014" t="s">
        <v>1884</v>
      </c>
      <c r="C17" s="2017"/>
      <c r="D17" s="2017"/>
      <c r="E17" s="2017"/>
      <c r="F17" s="2017"/>
      <c r="G17" s="2029">
        <v>36.840000000000003</v>
      </c>
      <c r="H17" s="2018">
        <v>4.54</v>
      </c>
      <c r="Q17" s="2553">
        <f>(1972.57+2019.48+1612.24+1326.35+1501.68+1441.28+1974.96+4106.12+1942.88+3121.06+6007.26+16168.85)/1000/1.18</f>
        <v>36.605703389830509</v>
      </c>
    </row>
    <row r="18" spans="1:19" ht="23.1" customHeight="1">
      <c r="A18" s="2016" t="s">
        <v>98</v>
      </c>
      <c r="B18" s="2014" t="s">
        <v>1885</v>
      </c>
      <c r="C18" s="2017"/>
      <c r="D18" s="2017"/>
      <c r="E18" s="2017"/>
      <c r="F18" s="2017"/>
      <c r="G18" s="2029">
        <v>2929.38</v>
      </c>
      <c r="H18" s="2018">
        <v>17141.939999999999</v>
      </c>
      <c r="Q18" s="2556">
        <f>(3045.93693+190.46282+410.72779)/1.18</f>
        <v>3090.7860508474578</v>
      </c>
    </row>
    <row r="19" spans="1:19" ht="23.1" customHeight="1">
      <c r="A19" s="2016" t="s">
        <v>1899</v>
      </c>
      <c r="B19" s="2014" t="s">
        <v>1886</v>
      </c>
      <c r="C19" s="2017"/>
      <c r="D19" s="2017"/>
      <c r="E19" s="2017"/>
      <c r="F19" s="2017"/>
      <c r="G19" s="2029">
        <v>891.68</v>
      </c>
      <c r="H19" s="2018">
        <v>552.17057999999997</v>
      </c>
      <c r="I19" s="2018" t="s">
        <v>1699</v>
      </c>
    </row>
    <row r="20" spans="1:19" ht="23.1" customHeight="1">
      <c r="A20" s="2016" t="s">
        <v>1900</v>
      </c>
      <c r="B20" s="2014" t="s">
        <v>1887</v>
      </c>
      <c r="C20" s="2017"/>
      <c r="D20" s="2017"/>
      <c r="E20" s="2017"/>
      <c r="F20" s="2017"/>
      <c r="G20" s="2029">
        <v>930.96</v>
      </c>
      <c r="H20" s="2019" t="s">
        <v>1700</v>
      </c>
      <c r="I20" s="2020"/>
      <c r="J20" s="2021" t="s">
        <v>1701</v>
      </c>
      <c r="K20" s="2022"/>
      <c r="P20" s="2001">
        <f>SUM(G19:G20)</f>
        <v>1822.6399999999999</v>
      </c>
      <c r="Q20" s="2556">
        <f>(240.24978+274.24988+277.22959+955.44908)</f>
        <v>1747.1783299999997</v>
      </c>
    </row>
    <row r="21" spans="1:19" ht="23.1" customHeight="1">
      <c r="A21" s="2016" t="s">
        <v>1901</v>
      </c>
      <c r="B21" s="2014" t="s">
        <v>1888</v>
      </c>
      <c r="C21" s="2017"/>
      <c r="D21" s="2017"/>
      <c r="E21" s="2017"/>
      <c r="F21" s="2017"/>
      <c r="G21" s="2029">
        <v>468.39</v>
      </c>
      <c r="H21" s="2019" t="s">
        <v>1700</v>
      </c>
      <c r="I21" s="2000">
        <v>261.35000000000002</v>
      </c>
      <c r="Q21" s="2553">
        <f>(26368+32936.4+29698.68+30280.92+5332.99+31002.99+14489.38+8487.83+6880.86+20738.46+10233.3+21068.3+11410.64+28107.07+36877.05+11878.02+51119.76+62914.17)/1.18/1000</f>
        <v>372.73289830508475</v>
      </c>
      <c r="R21" s="2553">
        <f>26368+32936.4+29698.68+30280.92+5333.99+31002.99+14489.38+8487.83+6880.86+20738.46+10233.3+21068.3+11410.64+28107.07+36877.05+11878.02+51119.76+62914.17+18630.12+17031.36+16359.3</f>
        <v>491846.59999999992</v>
      </c>
    </row>
    <row r="22" spans="1:19" ht="23.1" customHeight="1">
      <c r="A22" s="2415" t="s">
        <v>1902</v>
      </c>
      <c r="B22" s="2025" t="s">
        <v>1881</v>
      </c>
      <c r="C22" s="2017"/>
      <c r="D22" s="2017"/>
      <c r="E22" s="2017"/>
      <c r="F22" s="2017"/>
      <c r="G22" s="2029">
        <v>3088.31</v>
      </c>
      <c r="H22" s="2018">
        <v>3495.9821700000002</v>
      </c>
      <c r="I22" s="2020"/>
      <c r="J22" s="2023">
        <v>1495.2</v>
      </c>
      <c r="K22" s="2024" t="s">
        <v>1289</v>
      </c>
    </row>
    <row r="23" spans="1:19" ht="22.5" customHeight="1">
      <c r="A23" s="2473"/>
      <c r="B23" s="2478" t="s">
        <v>1904</v>
      </c>
      <c r="C23" s="2017"/>
      <c r="D23" s="2017"/>
      <c r="E23" s="2017"/>
      <c r="F23" s="2017"/>
      <c r="G23" s="2474"/>
      <c r="H23" s="2026"/>
    </row>
    <row r="24" spans="1:19" ht="19.5" customHeight="1">
      <c r="A24" s="2477" t="s">
        <v>79</v>
      </c>
      <c r="B24" s="2027" t="s">
        <v>1906</v>
      </c>
      <c r="C24" s="2028"/>
      <c r="D24" s="2028"/>
      <c r="E24" s="2028"/>
      <c r="F24" s="2028"/>
      <c r="G24" s="2475">
        <f>G11-G15</f>
        <v>543.72999999999774</v>
      </c>
      <c r="H24" s="2029">
        <f>SUM(H12:H14)-H17-H18-H19-H22</f>
        <v>-6394.8577499999983</v>
      </c>
      <c r="I24" s="2030">
        <v>-766.09999999999764</v>
      </c>
    </row>
    <row r="25" spans="1:19" ht="19.5" customHeight="1">
      <c r="A25" s="2766" t="s">
        <v>80</v>
      </c>
      <c r="B25" s="2478" t="s">
        <v>1903</v>
      </c>
      <c r="C25" s="2017"/>
      <c r="D25" s="2017"/>
      <c r="E25" s="2017"/>
      <c r="F25" s="2017"/>
      <c r="G25" s="2474"/>
      <c r="I25" s="2030"/>
    </row>
    <row r="26" spans="1:19" ht="19.5" customHeight="1">
      <c r="A26" s="2767"/>
      <c r="B26" s="2027" t="s">
        <v>1907</v>
      </c>
      <c r="C26" s="2028"/>
      <c r="D26" s="2028"/>
      <c r="E26" s="2031"/>
      <c r="F26" s="2031"/>
      <c r="G26" s="2475">
        <f>G9-G24</f>
        <v>2311.1900000000032</v>
      </c>
      <c r="H26" s="2018">
        <f>H7-H24</f>
        <v>8697.7577499999989</v>
      </c>
      <c r="I26" s="2030">
        <v>-766.09999999999764</v>
      </c>
      <c r="R26" s="2554"/>
    </row>
    <row r="27" spans="1:19">
      <c r="S27" s="2032"/>
    </row>
    <row r="28" spans="1:19">
      <c r="S28" s="2032"/>
    </row>
    <row r="29" spans="1:19">
      <c r="A29" s="2032" t="s">
        <v>1905</v>
      </c>
      <c r="Q29" s="2552">
        <f>15461.52+761.06+3128.2-2374.47</f>
        <v>16976.309999999998</v>
      </c>
    </row>
    <row r="30" spans="1:19">
      <c r="A30" s="2032" t="s">
        <v>1918</v>
      </c>
      <c r="Q30" s="2553" t="e">
        <f>#REF!</f>
        <v>#REF!</v>
      </c>
    </row>
    <row r="31" spans="1:19">
      <c r="A31" s="2032"/>
      <c r="Q31" s="2553" t="e">
        <f>Q30-Q29</f>
        <v>#REF!</v>
      </c>
    </row>
    <row r="32" spans="1:19">
      <c r="A32" s="2032"/>
      <c r="G32" s="2001"/>
    </row>
    <row r="33" spans="1:18">
      <c r="H33" s="2033">
        <f>2265.5-G7</f>
        <v>-8754.8700000000008</v>
      </c>
    </row>
    <row r="34" spans="1:18">
      <c r="H34" s="2006"/>
    </row>
    <row r="35" spans="1:18">
      <c r="H35" s="2006"/>
    </row>
    <row r="36" spans="1:18">
      <c r="H36" s="2006"/>
    </row>
    <row r="37" spans="1:18">
      <c r="H37" s="2006"/>
    </row>
    <row r="38" spans="1:18">
      <c r="H38" s="2006"/>
    </row>
    <row r="39" spans="1:18">
      <c r="H39" s="2006"/>
    </row>
    <row r="40" spans="1:18">
      <c r="H40" s="2006"/>
    </row>
    <row r="43" spans="1:18" s="2039" customFormat="1" ht="23.25" customHeight="1">
      <c r="A43" s="2034" t="s">
        <v>731</v>
      </c>
      <c r="B43" s="2035"/>
      <c r="C43" s="2036"/>
      <c r="D43" s="2037"/>
      <c r="E43" s="2037"/>
      <c r="F43" s="2037"/>
      <c r="G43" s="2037"/>
      <c r="H43" s="2038"/>
      <c r="L43" s="2040">
        <f>I36-9777.22</f>
        <v>-9777.2199999999993</v>
      </c>
      <c r="N43" s="1717"/>
      <c r="Q43" s="2557"/>
      <c r="R43" s="2557"/>
    </row>
    <row r="44" spans="1:18" s="2039" customFormat="1" ht="15" customHeight="1">
      <c r="A44" s="2034" t="s">
        <v>761</v>
      </c>
      <c r="C44" s="2036"/>
      <c r="D44" s="2037"/>
      <c r="E44" s="2041"/>
      <c r="F44" s="2042" t="s">
        <v>733</v>
      </c>
      <c r="N44" s="1717"/>
      <c r="O44" s="1717"/>
      <c r="P44" s="1717"/>
      <c r="Q44" s="2558"/>
      <c r="R44" s="2557"/>
    </row>
    <row r="46" spans="1:18" s="2043" customFormat="1" ht="15.6">
      <c r="B46" s="2044"/>
      <c r="C46" s="2045"/>
      <c r="H46" s="2046"/>
      <c r="K46" s="2006"/>
      <c r="Q46" s="2559"/>
      <c r="R46" s="2559"/>
    </row>
  </sheetData>
  <mergeCells count="2">
    <mergeCell ref="B5:F5"/>
    <mergeCell ref="A25:A26"/>
  </mergeCells>
  <printOptions horizontalCentered="1"/>
  <pageMargins left="0.19685039370078741" right="0.19685039370078741" top="0.59055118110236227" bottom="0.11811023622047245" header="0.31496062992125984" footer="3.937007874015748E-2"/>
  <pageSetup paperSize="9" scale="77" orientation="landscape" r:id="rId1"/>
  <headerFooter>
    <oddFooter>&amp;L&amp;8___________________________________________________________________
&amp;F&amp;A</oddFooter>
  </headerFooter>
  <colBreaks count="1" manualBreakCount="1">
    <brk id="7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 enableFormatConditionsCalculation="0">
    <tabColor rgb="FFCCFF66"/>
  </sheetPr>
  <dimension ref="A1:M56"/>
  <sheetViews>
    <sheetView zoomScaleNormal="100" workbookViewId="0">
      <pane xSplit="1" ySplit="12" topLeftCell="B14" activePane="bottomRight" state="frozenSplit"/>
      <selection activeCell="C23" sqref="C23:C30"/>
      <selection pane="topRight" activeCell="C23" sqref="C23:C30"/>
      <selection pane="bottomLeft" activeCell="C23" sqref="C23:C30"/>
      <selection pane="bottomRight" activeCell="C23" sqref="C23:C30"/>
    </sheetView>
  </sheetViews>
  <sheetFormatPr defaultRowHeight="13.2"/>
  <cols>
    <col min="1" max="1" width="10.88671875" style="6" customWidth="1"/>
    <col min="2" max="2" width="12" style="6" customWidth="1"/>
    <col min="3" max="3" width="11.5546875" style="6" customWidth="1"/>
    <col min="4" max="4" width="11.44140625" style="6" customWidth="1"/>
    <col min="5" max="5" width="10.5546875" style="6" customWidth="1"/>
    <col min="6" max="6" width="14.88671875" style="4" customWidth="1"/>
    <col min="7" max="7" width="16.109375" style="6" customWidth="1"/>
    <col min="8" max="8" width="9.109375" style="6"/>
    <col min="9" max="11" width="9.109375" style="6" customWidth="1"/>
    <col min="12" max="12" width="11.6640625" style="6" customWidth="1"/>
    <col min="13" max="14" width="9.109375" style="6" customWidth="1"/>
    <col min="15" max="256" width="9.109375" style="6"/>
    <col min="257" max="257" width="10.88671875" style="6" customWidth="1"/>
    <col min="258" max="258" width="12" style="6" customWidth="1"/>
    <col min="259" max="259" width="11.5546875" style="6" customWidth="1"/>
    <col min="260" max="260" width="11.44140625" style="6" customWidth="1"/>
    <col min="261" max="261" width="10.5546875" style="6" customWidth="1"/>
    <col min="262" max="262" width="14.88671875" style="6" customWidth="1"/>
    <col min="263" max="263" width="16.109375" style="6" customWidth="1"/>
    <col min="264" max="512" width="9.109375" style="6"/>
    <col min="513" max="513" width="10.88671875" style="6" customWidth="1"/>
    <col min="514" max="514" width="12" style="6" customWidth="1"/>
    <col min="515" max="515" width="11.5546875" style="6" customWidth="1"/>
    <col min="516" max="516" width="11.44140625" style="6" customWidth="1"/>
    <col min="517" max="517" width="10.5546875" style="6" customWidth="1"/>
    <col min="518" max="518" width="14.88671875" style="6" customWidth="1"/>
    <col min="519" max="519" width="16.109375" style="6" customWidth="1"/>
    <col min="520" max="768" width="9.109375" style="6"/>
    <col min="769" max="769" width="10.88671875" style="6" customWidth="1"/>
    <col min="770" max="770" width="12" style="6" customWidth="1"/>
    <col min="771" max="771" width="11.5546875" style="6" customWidth="1"/>
    <col min="772" max="772" width="11.44140625" style="6" customWidth="1"/>
    <col min="773" max="773" width="10.5546875" style="6" customWidth="1"/>
    <col min="774" max="774" width="14.88671875" style="6" customWidth="1"/>
    <col min="775" max="775" width="16.109375" style="6" customWidth="1"/>
    <col min="776" max="1024" width="9.109375" style="6"/>
    <col min="1025" max="1025" width="10.88671875" style="6" customWidth="1"/>
    <col min="1026" max="1026" width="12" style="6" customWidth="1"/>
    <col min="1027" max="1027" width="11.5546875" style="6" customWidth="1"/>
    <col min="1028" max="1028" width="11.44140625" style="6" customWidth="1"/>
    <col min="1029" max="1029" width="10.5546875" style="6" customWidth="1"/>
    <col min="1030" max="1030" width="14.88671875" style="6" customWidth="1"/>
    <col min="1031" max="1031" width="16.109375" style="6" customWidth="1"/>
    <col min="1032" max="1280" width="9.109375" style="6"/>
    <col min="1281" max="1281" width="10.88671875" style="6" customWidth="1"/>
    <col min="1282" max="1282" width="12" style="6" customWidth="1"/>
    <col min="1283" max="1283" width="11.5546875" style="6" customWidth="1"/>
    <col min="1284" max="1284" width="11.44140625" style="6" customWidth="1"/>
    <col min="1285" max="1285" width="10.5546875" style="6" customWidth="1"/>
    <col min="1286" max="1286" width="14.88671875" style="6" customWidth="1"/>
    <col min="1287" max="1287" width="16.109375" style="6" customWidth="1"/>
    <col min="1288" max="1536" width="9.109375" style="6"/>
    <col min="1537" max="1537" width="10.88671875" style="6" customWidth="1"/>
    <col min="1538" max="1538" width="12" style="6" customWidth="1"/>
    <col min="1539" max="1539" width="11.5546875" style="6" customWidth="1"/>
    <col min="1540" max="1540" width="11.44140625" style="6" customWidth="1"/>
    <col min="1541" max="1541" width="10.5546875" style="6" customWidth="1"/>
    <col min="1542" max="1542" width="14.88671875" style="6" customWidth="1"/>
    <col min="1543" max="1543" width="16.109375" style="6" customWidth="1"/>
    <col min="1544" max="1792" width="9.109375" style="6"/>
    <col min="1793" max="1793" width="10.88671875" style="6" customWidth="1"/>
    <col min="1794" max="1794" width="12" style="6" customWidth="1"/>
    <col min="1795" max="1795" width="11.5546875" style="6" customWidth="1"/>
    <col min="1796" max="1796" width="11.44140625" style="6" customWidth="1"/>
    <col min="1797" max="1797" width="10.5546875" style="6" customWidth="1"/>
    <col min="1798" max="1798" width="14.88671875" style="6" customWidth="1"/>
    <col min="1799" max="1799" width="16.109375" style="6" customWidth="1"/>
    <col min="1800" max="2048" width="9.109375" style="6"/>
    <col min="2049" max="2049" width="10.88671875" style="6" customWidth="1"/>
    <col min="2050" max="2050" width="12" style="6" customWidth="1"/>
    <col min="2051" max="2051" width="11.5546875" style="6" customWidth="1"/>
    <col min="2052" max="2052" width="11.44140625" style="6" customWidth="1"/>
    <col min="2053" max="2053" width="10.5546875" style="6" customWidth="1"/>
    <col min="2054" max="2054" width="14.88671875" style="6" customWidth="1"/>
    <col min="2055" max="2055" width="16.109375" style="6" customWidth="1"/>
    <col min="2056" max="2304" width="9.109375" style="6"/>
    <col min="2305" max="2305" width="10.88671875" style="6" customWidth="1"/>
    <col min="2306" max="2306" width="12" style="6" customWidth="1"/>
    <col min="2307" max="2307" width="11.5546875" style="6" customWidth="1"/>
    <col min="2308" max="2308" width="11.44140625" style="6" customWidth="1"/>
    <col min="2309" max="2309" width="10.5546875" style="6" customWidth="1"/>
    <col min="2310" max="2310" width="14.88671875" style="6" customWidth="1"/>
    <col min="2311" max="2311" width="16.109375" style="6" customWidth="1"/>
    <col min="2312" max="2560" width="9.109375" style="6"/>
    <col min="2561" max="2561" width="10.88671875" style="6" customWidth="1"/>
    <col min="2562" max="2562" width="12" style="6" customWidth="1"/>
    <col min="2563" max="2563" width="11.5546875" style="6" customWidth="1"/>
    <col min="2564" max="2564" width="11.44140625" style="6" customWidth="1"/>
    <col min="2565" max="2565" width="10.5546875" style="6" customWidth="1"/>
    <col min="2566" max="2566" width="14.88671875" style="6" customWidth="1"/>
    <col min="2567" max="2567" width="16.109375" style="6" customWidth="1"/>
    <col min="2568" max="2816" width="9.109375" style="6"/>
    <col min="2817" max="2817" width="10.88671875" style="6" customWidth="1"/>
    <col min="2818" max="2818" width="12" style="6" customWidth="1"/>
    <col min="2819" max="2819" width="11.5546875" style="6" customWidth="1"/>
    <col min="2820" max="2820" width="11.44140625" style="6" customWidth="1"/>
    <col min="2821" max="2821" width="10.5546875" style="6" customWidth="1"/>
    <col min="2822" max="2822" width="14.88671875" style="6" customWidth="1"/>
    <col min="2823" max="2823" width="16.109375" style="6" customWidth="1"/>
    <col min="2824" max="3072" width="9.109375" style="6"/>
    <col min="3073" max="3073" width="10.88671875" style="6" customWidth="1"/>
    <col min="3074" max="3074" width="12" style="6" customWidth="1"/>
    <col min="3075" max="3075" width="11.5546875" style="6" customWidth="1"/>
    <col min="3076" max="3076" width="11.44140625" style="6" customWidth="1"/>
    <col min="3077" max="3077" width="10.5546875" style="6" customWidth="1"/>
    <col min="3078" max="3078" width="14.88671875" style="6" customWidth="1"/>
    <col min="3079" max="3079" width="16.109375" style="6" customWidth="1"/>
    <col min="3080" max="3328" width="9.109375" style="6"/>
    <col min="3329" max="3329" width="10.88671875" style="6" customWidth="1"/>
    <col min="3330" max="3330" width="12" style="6" customWidth="1"/>
    <col min="3331" max="3331" width="11.5546875" style="6" customWidth="1"/>
    <col min="3332" max="3332" width="11.44140625" style="6" customWidth="1"/>
    <col min="3333" max="3333" width="10.5546875" style="6" customWidth="1"/>
    <col min="3334" max="3334" width="14.88671875" style="6" customWidth="1"/>
    <col min="3335" max="3335" width="16.109375" style="6" customWidth="1"/>
    <col min="3336" max="3584" width="9.109375" style="6"/>
    <col min="3585" max="3585" width="10.88671875" style="6" customWidth="1"/>
    <col min="3586" max="3586" width="12" style="6" customWidth="1"/>
    <col min="3587" max="3587" width="11.5546875" style="6" customWidth="1"/>
    <col min="3588" max="3588" width="11.44140625" style="6" customWidth="1"/>
    <col min="3589" max="3589" width="10.5546875" style="6" customWidth="1"/>
    <col min="3590" max="3590" width="14.88671875" style="6" customWidth="1"/>
    <col min="3591" max="3591" width="16.109375" style="6" customWidth="1"/>
    <col min="3592" max="3840" width="9.109375" style="6"/>
    <col min="3841" max="3841" width="10.88671875" style="6" customWidth="1"/>
    <col min="3842" max="3842" width="12" style="6" customWidth="1"/>
    <col min="3843" max="3843" width="11.5546875" style="6" customWidth="1"/>
    <col min="3844" max="3844" width="11.44140625" style="6" customWidth="1"/>
    <col min="3845" max="3845" width="10.5546875" style="6" customWidth="1"/>
    <col min="3846" max="3846" width="14.88671875" style="6" customWidth="1"/>
    <col min="3847" max="3847" width="16.109375" style="6" customWidth="1"/>
    <col min="3848" max="4096" width="9.109375" style="6"/>
    <col min="4097" max="4097" width="10.88671875" style="6" customWidth="1"/>
    <col min="4098" max="4098" width="12" style="6" customWidth="1"/>
    <col min="4099" max="4099" width="11.5546875" style="6" customWidth="1"/>
    <col min="4100" max="4100" width="11.44140625" style="6" customWidth="1"/>
    <col min="4101" max="4101" width="10.5546875" style="6" customWidth="1"/>
    <col min="4102" max="4102" width="14.88671875" style="6" customWidth="1"/>
    <col min="4103" max="4103" width="16.109375" style="6" customWidth="1"/>
    <col min="4104" max="4352" width="9.109375" style="6"/>
    <col min="4353" max="4353" width="10.88671875" style="6" customWidth="1"/>
    <col min="4354" max="4354" width="12" style="6" customWidth="1"/>
    <col min="4355" max="4355" width="11.5546875" style="6" customWidth="1"/>
    <col min="4356" max="4356" width="11.44140625" style="6" customWidth="1"/>
    <col min="4357" max="4357" width="10.5546875" style="6" customWidth="1"/>
    <col min="4358" max="4358" width="14.88671875" style="6" customWidth="1"/>
    <col min="4359" max="4359" width="16.109375" style="6" customWidth="1"/>
    <col min="4360" max="4608" width="9.109375" style="6"/>
    <col min="4609" max="4609" width="10.88671875" style="6" customWidth="1"/>
    <col min="4610" max="4610" width="12" style="6" customWidth="1"/>
    <col min="4611" max="4611" width="11.5546875" style="6" customWidth="1"/>
    <col min="4612" max="4612" width="11.44140625" style="6" customWidth="1"/>
    <col min="4613" max="4613" width="10.5546875" style="6" customWidth="1"/>
    <col min="4614" max="4614" width="14.88671875" style="6" customWidth="1"/>
    <col min="4615" max="4615" width="16.109375" style="6" customWidth="1"/>
    <col min="4616" max="4864" width="9.109375" style="6"/>
    <col min="4865" max="4865" width="10.88671875" style="6" customWidth="1"/>
    <col min="4866" max="4866" width="12" style="6" customWidth="1"/>
    <col min="4867" max="4867" width="11.5546875" style="6" customWidth="1"/>
    <col min="4868" max="4868" width="11.44140625" style="6" customWidth="1"/>
    <col min="4869" max="4869" width="10.5546875" style="6" customWidth="1"/>
    <col min="4870" max="4870" width="14.88671875" style="6" customWidth="1"/>
    <col min="4871" max="4871" width="16.109375" style="6" customWidth="1"/>
    <col min="4872" max="5120" width="9.109375" style="6"/>
    <col min="5121" max="5121" width="10.88671875" style="6" customWidth="1"/>
    <col min="5122" max="5122" width="12" style="6" customWidth="1"/>
    <col min="5123" max="5123" width="11.5546875" style="6" customWidth="1"/>
    <col min="5124" max="5124" width="11.44140625" style="6" customWidth="1"/>
    <col min="5125" max="5125" width="10.5546875" style="6" customWidth="1"/>
    <col min="5126" max="5126" width="14.88671875" style="6" customWidth="1"/>
    <col min="5127" max="5127" width="16.109375" style="6" customWidth="1"/>
    <col min="5128" max="5376" width="9.109375" style="6"/>
    <col min="5377" max="5377" width="10.88671875" style="6" customWidth="1"/>
    <col min="5378" max="5378" width="12" style="6" customWidth="1"/>
    <col min="5379" max="5379" width="11.5546875" style="6" customWidth="1"/>
    <col min="5380" max="5380" width="11.44140625" style="6" customWidth="1"/>
    <col min="5381" max="5381" width="10.5546875" style="6" customWidth="1"/>
    <col min="5382" max="5382" width="14.88671875" style="6" customWidth="1"/>
    <col min="5383" max="5383" width="16.109375" style="6" customWidth="1"/>
    <col min="5384" max="5632" width="9.109375" style="6"/>
    <col min="5633" max="5633" width="10.88671875" style="6" customWidth="1"/>
    <col min="5634" max="5634" width="12" style="6" customWidth="1"/>
    <col min="5635" max="5635" width="11.5546875" style="6" customWidth="1"/>
    <col min="5636" max="5636" width="11.44140625" style="6" customWidth="1"/>
    <col min="5637" max="5637" width="10.5546875" style="6" customWidth="1"/>
    <col min="5638" max="5638" width="14.88671875" style="6" customWidth="1"/>
    <col min="5639" max="5639" width="16.109375" style="6" customWidth="1"/>
    <col min="5640" max="5888" width="9.109375" style="6"/>
    <col min="5889" max="5889" width="10.88671875" style="6" customWidth="1"/>
    <col min="5890" max="5890" width="12" style="6" customWidth="1"/>
    <col min="5891" max="5891" width="11.5546875" style="6" customWidth="1"/>
    <col min="5892" max="5892" width="11.44140625" style="6" customWidth="1"/>
    <col min="5893" max="5893" width="10.5546875" style="6" customWidth="1"/>
    <col min="5894" max="5894" width="14.88671875" style="6" customWidth="1"/>
    <col min="5895" max="5895" width="16.109375" style="6" customWidth="1"/>
    <col min="5896" max="6144" width="9.109375" style="6"/>
    <col min="6145" max="6145" width="10.88671875" style="6" customWidth="1"/>
    <col min="6146" max="6146" width="12" style="6" customWidth="1"/>
    <col min="6147" max="6147" width="11.5546875" style="6" customWidth="1"/>
    <col min="6148" max="6148" width="11.44140625" style="6" customWidth="1"/>
    <col min="6149" max="6149" width="10.5546875" style="6" customWidth="1"/>
    <col min="6150" max="6150" width="14.88671875" style="6" customWidth="1"/>
    <col min="6151" max="6151" width="16.109375" style="6" customWidth="1"/>
    <col min="6152" max="6400" width="9.109375" style="6"/>
    <col min="6401" max="6401" width="10.88671875" style="6" customWidth="1"/>
    <col min="6402" max="6402" width="12" style="6" customWidth="1"/>
    <col min="6403" max="6403" width="11.5546875" style="6" customWidth="1"/>
    <col min="6404" max="6404" width="11.44140625" style="6" customWidth="1"/>
    <col min="6405" max="6405" width="10.5546875" style="6" customWidth="1"/>
    <col min="6406" max="6406" width="14.88671875" style="6" customWidth="1"/>
    <col min="6407" max="6407" width="16.109375" style="6" customWidth="1"/>
    <col min="6408" max="6656" width="9.109375" style="6"/>
    <col min="6657" max="6657" width="10.88671875" style="6" customWidth="1"/>
    <col min="6658" max="6658" width="12" style="6" customWidth="1"/>
    <col min="6659" max="6659" width="11.5546875" style="6" customWidth="1"/>
    <col min="6660" max="6660" width="11.44140625" style="6" customWidth="1"/>
    <col min="6661" max="6661" width="10.5546875" style="6" customWidth="1"/>
    <col min="6662" max="6662" width="14.88671875" style="6" customWidth="1"/>
    <col min="6663" max="6663" width="16.109375" style="6" customWidth="1"/>
    <col min="6664" max="6912" width="9.109375" style="6"/>
    <col min="6913" max="6913" width="10.88671875" style="6" customWidth="1"/>
    <col min="6914" max="6914" width="12" style="6" customWidth="1"/>
    <col min="6915" max="6915" width="11.5546875" style="6" customWidth="1"/>
    <col min="6916" max="6916" width="11.44140625" style="6" customWidth="1"/>
    <col min="6917" max="6917" width="10.5546875" style="6" customWidth="1"/>
    <col min="6918" max="6918" width="14.88671875" style="6" customWidth="1"/>
    <col min="6919" max="6919" width="16.109375" style="6" customWidth="1"/>
    <col min="6920" max="7168" width="9.109375" style="6"/>
    <col min="7169" max="7169" width="10.88671875" style="6" customWidth="1"/>
    <col min="7170" max="7170" width="12" style="6" customWidth="1"/>
    <col min="7171" max="7171" width="11.5546875" style="6" customWidth="1"/>
    <col min="7172" max="7172" width="11.44140625" style="6" customWidth="1"/>
    <col min="7173" max="7173" width="10.5546875" style="6" customWidth="1"/>
    <col min="7174" max="7174" width="14.88671875" style="6" customWidth="1"/>
    <col min="7175" max="7175" width="16.109375" style="6" customWidth="1"/>
    <col min="7176" max="7424" width="9.109375" style="6"/>
    <col min="7425" max="7425" width="10.88671875" style="6" customWidth="1"/>
    <col min="7426" max="7426" width="12" style="6" customWidth="1"/>
    <col min="7427" max="7427" width="11.5546875" style="6" customWidth="1"/>
    <col min="7428" max="7428" width="11.44140625" style="6" customWidth="1"/>
    <col min="7429" max="7429" width="10.5546875" style="6" customWidth="1"/>
    <col min="7430" max="7430" width="14.88671875" style="6" customWidth="1"/>
    <col min="7431" max="7431" width="16.109375" style="6" customWidth="1"/>
    <col min="7432" max="7680" width="9.109375" style="6"/>
    <col min="7681" max="7681" width="10.88671875" style="6" customWidth="1"/>
    <col min="7682" max="7682" width="12" style="6" customWidth="1"/>
    <col min="7683" max="7683" width="11.5546875" style="6" customWidth="1"/>
    <col min="7684" max="7684" width="11.44140625" style="6" customWidth="1"/>
    <col min="7685" max="7685" width="10.5546875" style="6" customWidth="1"/>
    <col min="7686" max="7686" width="14.88671875" style="6" customWidth="1"/>
    <col min="7687" max="7687" width="16.109375" style="6" customWidth="1"/>
    <col min="7688" max="7936" width="9.109375" style="6"/>
    <col min="7937" max="7937" width="10.88671875" style="6" customWidth="1"/>
    <col min="7938" max="7938" width="12" style="6" customWidth="1"/>
    <col min="7939" max="7939" width="11.5546875" style="6" customWidth="1"/>
    <col min="7940" max="7940" width="11.44140625" style="6" customWidth="1"/>
    <col min="7941" max="7941" width="10.5546875" style="6" customWidth="1"/>
    <col min="7942" max="7942" width="14.88671875" style="6" customWidth="1"/>
    <col min="7943" max="7943" width="16.109375" style="6" customWidth="1"/>
    <col min="7944" max="8192" width="9.109375" style="6"/>
    <col min="8193" max="8193" width="10.88671875" style="6" customWidth="1"/>
    <col min="8194" max="8194" width="12" style="6" customWidth="1"/>
    <col min="8195" max="8195" width="11.5546875" style="6" customWidth="1"/>
    <col min="8196" max="8196" width="11.44140625" style="6" customWidth="1"/>
    <col min="8197" max="8197" width="10.5546875" style="6" customWidth="1"/>
    <col min="8198" max="8198" width="14.88671875" style="6" customWidth="1"/>
    <col min="8199" max="8199" width="16.109375" style="6" customWidth="1"/>
    <col min="8200" max="8448" width="9.109375" style="6"/>
    <col min="8449" max="8449" width="10.88671875" style="6" customWidth="1"/>
    <col min="8450" max="8450" width="12" style="6" customWidth="1"/>
    <col min="8451" max="8451" width="11.5546875" style="6" customWidth="1"/>
    <col min="8452" max="8452" width="11.44140625" style="6" customWidth="1"/>
    <col min="8453" max="8453" width="10.5546875" style="6" customWidth="1"/>
    <col min="8454" max="8454" width="14.88671875" style="6" customWidth="1"/>
    <col min="8455" max="8455" width="16.109375" style="6" customWidth="1"/>
    <col min="8456" max="8704" width="9.109375" style="6"/>
    <col min="8705" max="8705" width="10.88671875" style="6" customWidth="1"/>
    <col min="8706" max="8706" width="12" style="6" customWidth="1"/>
    <col min="8707" max="8707" width="11.5546875" style="6" customWidth="1"/>
    <col min="8708" max="8708" width="11.44140625" style="6" customWidth="1"/>
    <col min="8709" max="8709" width="10.5546875" style="6" customWidth="1"/>
    <col min="8710" max="8710" width="14.88671875" style="6" customWidth="1"/>
    <col min="8711" max="8711" width="16.109375" style="6" customWidth="1"/>
    <col min="8712" max="8960" width="9.109375" style="6"/>
    <col min="8961" max="8961" width="10.88671875" style="6" customWidth="1"/>
    <col min="8962" max="8962" width="12" style="6" customWidth="1"/>
    <col min="8963" max="8963" width="11.5546875" style="6" customWidth="1"/>
    <col min="8964" max="8964" width="11.44140625" style="6" customWidth="1"/>
    <col min="8965" max="8965" width="10.5546875" style="6" customWidth="1"/>
    <col min="8966" max="8966" width="14.88671875" style="6" customWidth="1"/>
    <col min="8967" max="8967" width="16.109375" style="6" customWidth="1"/>
    <col min="8968" max="9216" width="9.109375" style="6"/>
    <col min="9217" max="9217" width="10.88671875" style="6" customWidth="1"/>
    <col min="9218" max="9218" width="12" style="6" customWidth="1"/>
    <col min="9219" max="9219" width="11.5546875" style="6" customWidth="1"/>
    <col min="9220" max="9220" width="11.44140625" style="6" customWidth="1"/>
    <col min="9221" max="9221" width="10.5546875" style="6" customWidth="1"/>
    <col min="9222" max="9222" width="14.88671875" style="6" customWidth="1"/>
    <col min="9223" max="9223" width="16.109375" style="6" customWidth="1"/>
    <col min="9224" max="9472" width="9.109375" style="6"/>
    <col min="9473" max="9473" width="10.88671875" style="6" customWidth="1"/>
    <col min="9474" max="9474" width="12" style="6" customWidth="1"/>
    <col min="9475" max="9475" width="11.5546875" style="6" customWidth="1"/>
    <col min="9476" max="9476" width="11.44140625" style="6" customWidth="1"/>
    <col min="9477" max="9477" width="10.5546875" style="6" customWidth="1"/>
    <col min="9478" max="9478" width="14.88671875" style="6" customWidth="1"/>
    <col min="9479" max="9479" width="16.109375" style="6" customWidth="1"/>
    <col min="9480" max="9728" width="9.109375" style="6"/>
    <col min="9729" max="9729" width="10.88671875" style="6" customWidth="1"/>
    <col min="9730" max="9730" width="12" style="6" customWidth="1"/>
    <col min="9731" max="9731" width="11.5546875" style="6" customWidth="1"/>
    <col min="9732" max="9732" width="11.44140625" style="6" customWidth="1"/>
    <col min="9733" max="9733" width="10.5546875" style="6" customWidth="1"/>
    <col min="9734" max="9734" width="14.88671875" style="6" customWidth="1"/>
    <col min="9735" max="9735" width="16.109375" style="6" customWidth="1"/>
    <col min="9736" max="9984" width="9.109375" style="6"/>
    <col min="9985" max="9985" width="10.88671875" style="6" customWidth="1"/>
    <col min="9986" max="9986" width="12" style="6" customWidth="1"/>
    <col min="9987" max="9987" width="11.5546875" style="6" customWidth="1"/>
    <col min="9988" max="9988" width="11.44140625" style="6" customWidth="1"/>
    <col min="9989" max="9989" width="10.5546875" style="6" customWidth="1"/>
    <col min="9990" max="9990" width="14.88671875" style="6" customWidth="1"/>
    <col min="9991" max="9991" width="16.109375" style="6" customWidth="1"/>
    <col min="9992" max="10240" width="9.109375" style="6"/>
    <col min="10241" max="10241" width="10.88671875" style="6" customWidth="1"/>
    <col min="10242" max="10242" width="12" style="6" customWidth="1"/>
    <col min="10243" max="10243" width="11.5546875" style="6" customWidth="1"/>
    <col min="10244" max="10244" width="11.44140625" style="6" customWidth="1"/>
    <col min="10245" max="10245" width="10.5546875" style="6" customWidth="1"/>
    <col min="10246" max="10246" width="14.88671875" style="6" customWidth="1"/>
    <col min="10247" max="10247" width="16.109375" style="6" customWidth="1"/>
    <col min="10248" max="10496" width="9.109375" style="6"/>
    <col min="10497" max="10497" width="10.88671875" style="6" customWidth="1"/>
    <col min="10498" max="10498" width="12" style="6" customWidth="1"/>
    <col min="10499" max="10499" width="11.5546875" style="6" customWidth="1"/>
    <col min="10500" max="10500" width="11.44140625" style="6" customWidth="1"/>
    <col min="10501" max="10501" width="10.5546875" style="6" customWidth="1"/>
    <col min="10502" max="10502" width="14.88671875" style="6" customWidth="1"/>
    <col min="10503" max="10503" width="16.109375" style="6" customWidth="1"/>
    <col min="10504" max="10752" width="9.109375" style="6"/>
    <col min="10753" max="10753" width="10.88671875" style="6" customWidth="1"/>
    <col min="10754" max="10754" width="12" style="6" customWidth="1"/>
    <col min="10755" max="10755" width="11.5546875" style="6" customWidth="1"/>
    <col min="10756" max="10756" width="11.44140625" style="6" customWidth="1"/>
    <col min="10757" max="10757" width="10.5546875" style="6" customWidth="1"/>
    <col min="10758" max="10758" width="14.88671875" style="6" customWidth="1"/>
    <col min="10759" max="10759" width="16.109375" style="6" customWidth="1"/>
    <col min="10760" max="11008" width="9.109375" style="6"/>
    <col min="11009" max="11009" width="10.88671875" style="6" customWidth="1"/>
    <col min="11010" max="11010" width="12" style="6" customWidth="1"/>
    <col min="11011" max="11011" width="11.5546875" style="6" customWidth="1"/>
    <col min="11012" max="11012" width="11.44140625" style="6" customWidth="1"/>
    <col min="11013" max="11013" width="10.5546875" style="6" customWidth="1"/>
    <col min="11014" max="11014" width="14.88671875" style="6" customWidth="1"/>
    <col min="11015" max="11015" width="16.109375" style="6" customWidth="1"/>
    <col min="11016" max="11264" width="9.109375" style="6"/>
    <col min="11265" max="11265" width="10.88671875" style="6" customWidth="1"/>
    <col min="11266" max="11266" width="12" style="6" customWidth="1"/>
    <col min="11267" max="11267" width="11.5546875" style="6" customWidth="1"/>
    <col min="11268" max="11268" width="11.44140625" style="6" customWidth="1"/>
    <col min="11269" max="11269" width="10.5546875" style="6" customWidth="1"/>
    <col min="11270" max="11270" width="14.88671875" style="6" customWidth="1"/>
    <col min="11271" max="11271" width="16.109375" style="6" customWidth="1"/>
    <col min="11272" max="11520" width="9.109375" style="6"/>
    <col min="11521" max="11521" width="10.88671875" style="6" customWidth="1"/>
    <col min="11522" max="11522" width="12" style="6" customWidth="1"/>
    <col min="11523" max="11523" width="11.5546875" style="6" customWidth="1"/>
    <col min="11524" max="11524" width="11.44140625" style="6" customWidth="1"/>
    <col min="11525" max="11525" width="10.5546875" style="6" customWidth="1"/>
    <col min="11526" max="11526" width="14.88671875" style="6" customWidth="1"/>
    <col min="11527" max="11527" width="16.109375" style="6" customWidth="1"/>
    <col min="11528" max="11776" width="9.109375" style="6"/>
    <col min="11777" max="11777" width="10.88671875" style="6" customWidth="1"/>
    <col min="11778" max="11778" width="12" style="6" customWidth="1"/>
    <col min="11779" max="11779" width="11.5546875" style="6" customWidth="1"/>
    <col min="11780" max="11780" width="11.44140625" style="6" customWidth="1"/>
    <col min="11781" max="11781" width="10.5546875" style="6" customWidth="1"/>
    <col min="11782" max="11782" width="14.88671875" style="6" customWidth="1"/>
    <col min="11783" max="11783" width="16.109375" style="6" customWidth="1"/>
    <col min="11784" max="12032" width="9.109375" style="6"/>
    <col min="12033" max="12033" width="10.88671875" style="6" customWidth="1"/>
    <col min="12034" max="12034" width="12" style="6" customWidth="1"/>
    <col min="12035" max="12035" width="11.5546875" style="6" customWidth="1"/>
    <col min="12036" max="12036" width="11.44140625" style="6" customWidth="1"/>
    <col min="12037" max="12037" width="10.5546875" style="6" customWidth="1"/>
    <col min="12038" max="12038" width="14.88671875" style="6" customWidth="1"/>
    <col min="12039" max="12039" width="16.109375" style="6" customWidth="1"/>
    <col min="12040" max="12288" width="9.109375" style="6"/>
    <col min="12289" max="12289" width="10.88671875" style="6" customWidth="1"/>
    <col min="12290" max="12290" width="12" style="6" customWidth="1"/>
    <col min="12291" max="12291" width="11.5546875" style="6" customWidth="1"/>
    <col min="12292" max="12292" width="11.44140625" style="6" customWidth="1"/>
    <col min="12293" max="12293" width="10.5546875" style="6" customWidth="1"/>
    <col min="12294" max="12294" width="14.88671875" style="6" customWidth="1"/>
    <col min="12295" max="12295" width="16.109375" style="6" customWidth="1"/>
    <col min="12296" max="12544" width="9.109375" style="6"/>
    <col min="12545" max="12545" width="10.88671875" style="6" customWidth="1"/>
    <col min="12546" max="12546" width="12" style="6" customWidth="1"/>
    <col min="12547" max="12547" width="11.5546875" style="6" customWidth="1"/>
    <col min="12548" max="12548" width="11.44140625" style="6" customWidth="1"/>
    <col min="12549" max="12549" width="10.5546875" style="6" customWidth="1"/>
    <col min="12550" max="12550" width="14.88671875" style="6" customWidth="1"/>
    <col min="12551" max="12551" width="16.109375" style="6" customWidth="1"/>
    <col min="12552" max="12800" width="9.109375" style="6"/>
    <col min="12801" max="12801" width="10.88671875" style="6" customWidth="1"/>
    <col min="12802" max="12802" width="12" style="6" customWidth="1"/>
    <col min="12803" max="12803" width="11.5546875" style="6" customWidth="1"/>
    <col min="12804" max="12804" width="11.44140625" style="6" customWidth="1"/>
    <col min="12805" max="12805" width="10.5546875" style="6" customWidth="1"/>
    <col min="12806" max="12806" width="14.88671875" style="6" customWidth="1"/>
    <col min="12807" max="12807" width="16.109375" style="6" customWidth="1"/>
    <col min="12808" max="13056" width="9.109375" style="6"/>
    <col min="13057" max="13057" width="10.88671875" style="6" customWidth="1"/>
    <col min="13058" max="13058" width="12" style="6" customWidth="1"/>
    <col min="13059" max="13059" width="11.5546875" style="6" customWidth="1"/>
    <col min="13060" max="13060" width="11.44140625" style="6" customWidth="1"/>
    <col min="13061" max="13061" width="10.5546875" style="6" customWidth="1"/>
    <col min="13062" max="13062" width="14.88671875" style="6" customWidth="1"/>
    <col min="13063" max="13063" width="16.109375" style="6" customWidth="1"/>
    <col min="13064" max="13312" width="9.109375" style="6"/>
    <col min="13313" max="13313" width="10.88671875" style="6" customWidth="1"/>
    <col min="13314" max="13314" width="12" style="6" customWidth="1"/>
    <col min="13315" max="13315" width="11.5546875" style="6" customWidth="1"/>
    <col min="13316" max="13316" width="11.44140625" style="6" customWidth="1"/>
    <col min="13317" max="13317" width="10.5546875" style="6" customWidth="1"/>
    <col min="13318" max="13318" width="14.88671875" style="6" customWidth="1"/>
    <col min="13319" max="13319" width="16.109375" style="6" customWidth="1"/>
    <col min="13320" max="13568" width="9.109375" style="6"/>
    <col min="13569" max="13569" width="10.88671875" style="6" customWidth="1"/>
    <col min="13570" max="13570" width="12" style="6" customWidth="1"/>
    <col min="13571" max="13571" width="11.5546875" style="6" customWidth="1"/>
    <col min="13572" max="13572" width="11.44140625" style="6" customWidth="1"/>
    <col min="13573" max="13573" width="10.5546875" style="6" customWidth="1"/>
    <col min="13574" max="13574" width="14.88671875" style="6" customWidth="1"/>
    <col min="13575" max="13575" width="16.109375" style="6" customWidth="1"/>
    <col min="13576" max="13824" width="9.109375" style="6"/>
    <col min="13825" max="13825" width="10.88671875" style="6" customWidth="1"/>
    <col min="13826" max="13826" width="12" style="6" customWidth="1"/>
    <col min="13827" max="13827" width="11.5546875" style="6" customWidth="1"/>
    <col min="13828" max="13828" width="11.44140625" style="6" customWidth="1"/>
    <col min="13829" max="13829" width="10.5546875" style="6" customWidth="1"/>
    <col min="13830" max="13830" width="14.88671875" style="6" customWidth="1"/>
    <col min="13831" max="13831" width="16.109375" style="6" customWidth="1"/>
    <col min="13832" max="14080" width="9.109375" style="6"/>
    <col min="14081" max="14081" width="10.88671875" style="6" customWidth="1"/>
    <col min="14082" max="14082" width="12" style="6" customWidth="1"/>
    <col min="14083" max="14083" width="11.5546875" style="6" customWidth="1"/>
    <col min="14084" max="14084" width="11.44140625" style="6" customWidth="1"/>
    <col min="14085" max="14085" width="10.5546875" style="6" customWidth="1"/>
    <col min="14086" max="14086" width="14.88671875" style="6" customWidth="1"/>
    <col min="14087" max="14087" width="16.109375" style="6" customWidth="1"/>
    <col min="14088" max="14336" width="9.109375" style="6"/>
    <col min="14337" max="14337" width="10.88671875" style="6" customWidth="1"/>
    <col min="14338" max="14338" width="12" style="6" customWidth="1"/>
    <col min="14339" max="14339" width="11.5546875" style="6" customWidth="1"/>
    <col min="14340" max="14340" width="11.44140625" style="6" customWidth="1"/>
    <col min="14341" max="14341" width="10.5546875" style="6" customWidth="1"/>
    <col min="14342" max="14342" width="14.88671875" style="6" customWidth="1"/>
    <col min="14343" max="14343" width="16.109375" style="6" customWidth="1"/>
    <col min="14344" max="14592" width="9.109375" style="6"/>
    <col min="14593" max="14593" width="10.88671875" style="6" customWidth="1"/>
    <col min="14594" max="14594" width="12" style="6" customWidth="1"/>
    <col min="14595" max="14595" width="11.5546875" style="6" customWidth="1"/>
    <col min="14596" max="14596" width="11.44140625" style="6" customWidth="1"/>
    <col min="14597" max="14597" width="10.5546875" style="6" customWidth="1"/>
    <col min="14598" max="14598" width="14.88671875" style="6" customWidth="1"/>
    <col min="14599" max="14599" width="16.109375" style="6" customWidth="1"/>
    <col min="14600" max="14848" width="9.109375" style="6"/>
    <col min="14849" max="14849" width="10.88671875" style="6" customWidth="1"/>
    <col min="14850" max="14850" width="12" style="6" customWidth="1"/>
    <col min="14851" max="14851" width="11.5546875" style="6" customWidth="1"/>
    <col min="14852" max="14852" width="11.44140625" style="6" customWidth="1"/>
    <col min="14853" max="14853" width="10.5546875" style="6" customWidth="1"/>
    <col min="14854" max="14854" width="14.88671875" style="6" customWidth="1"/>
    <col min="14855" max="14855" width="16.109375" style="6" customWidth="1"/>
    <col min="14856" max="15104" width="9.109375" style="6"/>
    <col min="15105" max="15105" width="10.88671875" style="6" customWidth="1"/>
    <col min="15106" max="15106" width="12" style="6" customWidth="1"/>
    <col min="15107" max="15107" width="11.5546875" style="6" customWidth="1"/>
    <col min="15108" max="15108" width="11.44140625" style="6" customWidth="1"/>
    <col min="15109" max="15109" width="10.5546875" style="6" customWidth="1"/>
    <col min="15110" max="15110" width="14.88671875" style="6" customWidth="1"/>
    <col min="15111" max="15111" width="16.109375" style="6" customWidth="1"/>
    <col min="15112" max="15360" width="9.109375" style="6"/>
    <col min="15361" max="15361" width="10.88671875" style="6" customWidth="1"/>
    <col min="15362" max="15362" width="12" style="6" customWidth="1"/>
    <col min="15363" max="15363" width="11.5546875" style="6" customWidth="1"/>
    <col min="15364" max="15364" width="11.44140625" style="6" customWidth="1"/>
    <col min="15365" max="15365" width="10.5546875" style="6" customWidth="1"/>
    <col min="15366" max="15366" width="14.88671875" style="6" customWidth="1"/>
    <col min="15367" max="15367" width="16.109375" style="6" customWidth="1"/>
    <col min="15368" max="15616" width="9.109375" style="6"/>
    <col min="15617" max="15617" width="10.88671875" style="6" customWidth="1"/>
    <col min="15618" max="15618" width="12" style="6" customWidth="1"/>
    <col min="15619" max="15619" width="11.5546875" style="6" customWidth="1"/>
    <col min="15620" max="15620" width="11.44140625" style="6" customWidth="1"/>
    <col min="15621" max="15621" width="10.5546875" style="6" customWidth="1"/>
    <col min="15622" max="15622" width="14.88671875" style="6" customWidth="1"/>
    <col min="15623" max="15623" width="16.109375" style="6" customWidth="1"/>
    <col min="15624" max="15872" width="9.109375" style="6"/>
    <col min="15873" max="15873" width="10.88671875" style="6" customWidth="1"/>
    <col min="15874" max="15874" width="12" style="6" customWidth="1"/>
    <col min="15875" max="15875" width="11.5546875" style="6" customWidth="1"/>
    <col min="15876" max="15876" width="11.44140625" style="6" customWidth="1"/>
    <col min="15877" max="15877" width="10.5546875" style="6" customWidth="1"/>
    <col min="15878" max="15878" width="14.88671875" style="6" customWidth="1"/>
    <col min="15879" max="15879" width="16.109375" style="6" customWidth="1"/>
    <col min="15880" max="16128" width="9.109375" style="6"/>
    <col min="16129" max="16129" width="10.88671875" style="6" customWidth="1"/>
    <col min="16130" max="16130" width="12" style="6" customWidth="1"/>
    <col min="16131" max="16131" width="11.5546875" style="6" customWidth="1"/>
    <col min="16132" max="16132" width="11.44140625" style="6" customWidth="1"/>
    <col min="16133" max="16133" width="10.5546875" style="6" customWidth="1"/>
    <col min="16134" max="16134" width="14.88671875" style="6" customWidth="1"/>
    <col min="16135" max="16135" width="16.109375" style="6" customWidth="1"/>
    <col min="16136" max="16384" width="9.109375" style="6"/>
  </cols>
  <sheetData>
    <row r="1" spans="1:13">
      <c r="G1" s="1906" t="s">
        <v>102</v>
      </c>
      <c r="I1" s="6" t="s">
        <v>159</v>
      </c>
      <c r="L1" s="1907">
        <v>664.83879999999999</v>
      </c>
    </row>
    <row r="2" spans="1:13" ht="15.6">
      <c r="A2" s="65" t="s">
        <v>762</v>
      </c>
      <c r="B2" s="748"/>
      <c r="C2" s="748"/>
      <c r="D2" s="748"/>
      <c r="E2" s="748"/>
      <c r="F2" s="748"/>
      <c r="G2" s="748"/>
      <c r="I2" s="6" t="s">
        <v>163</v>
      </c>
      <c r="L2" s="1907">
        <v>295.27</v>
      </c>
      <c r="M2" s="6">
        <v>0.44412269560681472</v>
      </c>
    </row>
    <row r="3" spans="1:13" ht="12.75" customHeight="1">
      <c r="A3" s="65" t="s">
        <v>763</v>
      </c>
      <c r="B3" s="748"/>
      <c r="C3" s="748"/>
      <c r="D3" s="748"/>
      <c r="E3" s="748"/>
      <c r="F3" s="748"/>
      <c r="G3" s="748"/>
      <c r="I3" s="6" t="s">
        <v>164</v>
      </c>
      <c r="L3" s="1907">
        <v>0</v>
      </c>
      <c r="M3" s="6">
        <v>0</v>
      </c>
    </row>
    <row r="4" spans="1:13" ht="12.75" customHeight="1">
      <c r="A4" s="65" t="s">
        <v>1824</v>
      </c>
      <c r="B4" s="53"/>
      <c r="C4" s="53"/>
      <c r="D4" s="53"/>
      <c r="E4" s="53"/>
      <c r="F4" s="53"/>
      <c r="G4" s="53"/>
      <c r="I4" s="6" t="s">
        <v>160</v>
      </c>
      <c r="L4" s="1907">
        <v>338.50710000000004</v>
      </c>
      <c r="M4" s="6">
        <v>0.50915665571864943</v>
      </c>
    </row>
    <row r="5" spans="1:13" ht="13.5" customHeight="1">
      <c r="A5" s="65" t="s">
        <v>270</v>
      </c>
      <c r="B5" s="53"/>
      <c r="C5" s="53"/>
      <c r="D5" s="53"/>
      <c r="E5" s="53"/>
      <c r="F5" s="53"/>
      <c r="G5" s="53"/>
      <c r="I5" s="6" t="s">
        <v>161</v>
      </c>
      <c r="L5" s="1907">
        <v>31.061699999999998</v>
      </c>
      <c r="M5" s="6">
        <v>4.672064867453584E-2</v>
      </c>
    </row>
    <row r="6" spans="1:13" ht="12.75" customHeight="1">
      <c r="A6" s="65" t="s">
        <v>272</v>
      </c>
      <c r="B6" s="58"/>
      <c r="C6" s="58"/>
      <c r="D6" s="2560"/>
      <c r="E6" s="58"/>
      <c r="F6" s="58"/>
      <c r="G6" s="58"/>
      <c r="L6" s="1907"/>
    </row>
    <row r="7" spans="1:13" ht="15.6">
      <c r="A7" s="65" t="s">
        <v>271</v>
      </c>
      <c r="B7" s="58"/>
      <c r="C7" s="58"/>
      <c r="D7" s="58"/>
      <c r="E7" s="58"/>
      <c r="F7" s="58"/>
      <c r="G7" s="58"/>
      <c r="L7" s="2372">
        <v>664.83879999999999</v>
      </c>
      <c r="M7" s="21">
        <v>829.96699999999998</v>
      </c>
    </row>
    <row r="8" spans="1:13">
      <c r="A8" s="748"/>
      <c r="B8" s="58"/>
      <c r="C8" s="58"/>
      <c r="D8" s="58"/>
      <c r="E8" s="58"/>
      <c r="F8" s="58"/>
      <c r="G8" s="58"/>
      <c r="L8" s="2372"/>
    </row>
    <row r="9" spans="1:13">
      <c r="A9" s="1871" t="s">
        <v>1499</v>
      </c>
      <c r="G9" s="751" t="s">
        <v>1733</v>
      </c>
      <c r="L9" s="2373">
        <v>833</v>
      </c>
      <c r="M9" s="2373" t="s">
        <v>1844</v>
      </c>
    </row>
    <row r="10" spans="1:13" ht="79.2">
      <c r="A10" s="2768"/>
      <c r="B10" s="2770" t="s">
        <v>103</v>
      </c>
      <c r="C10" s="2770" t="s">
        <v>104</v>
      </c>
      <c r="D10" s="2770" t="s">
        <v>105</v>
      </c>
      <c r="E10" s="1887" t="s">
        <v>106</v>
      </c>
      <c r="F10" s="1887" t="s">
        <v>107</v>
      </c>
      <c r="G10" s="1887" t="s">
        <v>108</v>
      </c>
      <c r="I10" s="40"/>
    </row>
    <row r="11" spans="1:13">
      <c r="A11" s="2769"/>
      <c r="B11" s="2771"/>
      <c r="C11" s="2771"/>
      <c r="D11" s="2771"/>
      <c r="E11" s="1887" t="s">
        <v>109</v>
      </c>
      <c r="F11" s="1887" t="s">
        <v>110</v>
      </c>
      <c r="G11" s="1887" t="s">
        <v>111</v>
      </c>
      <c r="L11" s="34"/>
    </row>
    <row r="12" spans="1:13">
      <c r="A12" s="422">
        <v>1</v>
      </c>
      <c r="B12" s="422">
        <v>2</v>
      </c>
      <c r="C12" s="422">
        <v>3</v>
      </c>
      <c r="D12" s="422">
        <v>4</v>
      </c>
      <c r="E12" s="422">
        <v>5</v>
      </c>
      <c r="F12" s="422">
        <v>6</v>
      </c>
      <c r="G12" s="422" t="s">
        <v>172</v>
      </c>
    </row>
    <row r="13" spans="1:13">
      <c r="A13" s="2772" t="s">
        <v>112</v>
      </c>
      <c r="B13" s="429">
        <v>1150</v>
      </c>
      <c r="C13" s="422" t="s">
        <v>101</v>
      </c>
      <c r="D13" s="1886" t="s">
        <v>113</v>
      </c>
      <c r="E13" s="422">
        <v>800</v>
      </c>
      <c r="F13" s="422"/>
      <c r="G13" s="422"/>
    </row>
    <row r="14" spans="1:13">
      <c r="A14" s="2772"/>
      <c r="B14" s="429">
        <v>750</v>
      </c>
      <c r="C14" s="422">
        <v>1</v>
      </c>
      <c r="D14" s="1886" t="s">
        <v>113</v>
      </c>
      <c r="E14" s="422">
        <v>600</v>
      </c>
      <c r="F14" s="422"/>
      <c r="G14" s="422"/>
      <c r="L14" s="34"/>
      <c r="M14" s="41"/>
    </row>
    <row r="15" spans="1:13">
      <c r="A15" s="2772"/>
      <c r="B15" s="2773" t="s">
        <v>114</v>
      </c>
      <c r="C15" s="2774">
        <v>1</v>
      </c>
      <c r="D15" s="1886" t="s">
        <v>113</v>
      </c>
      <c r="E15" s="422">
        <v>400</v>
      </c>
      <c r="F15" s="422"/>
      <c r="G15" s="422"/>
      <c r="L15" s="24"/>
      <c r="M15" s="41"/>
    </row>
    <row r="16" spans="1:13">
      <c r="A16" s="2772"/>
      <c r="B16" s="2773"/>
      <c r="C16" s="2774"/>
      <c r="D16" s="1886" t="s">
        <v>115</v>
      </c>
      <c r="E16" s="422">
        <v>300</v>
      </c>
      <c r="F16" s="422"/>
      <c r="G16" s="422"/>
    </row>
    <row r="17" spans="1:12">
      <c r="A17" s="2772"/>
      <c r="B17" s="2773">
        <v>330</v>
      </c>
      <c r="C17" s="2774">
        <v>1</v>
      </c>
      <c r="D17" s="1886" t="s">
        <v>113</v>
      </c>
      <c r="E17" s="422">
        <v>230</v>
      </c>
      <c r="F17" s="422"/>
      <c r="G17" s="422"/>
      <c r="L17" s="34"/>
    </row>
    <row r="18" spans="1:12">
      <c r="A18" s="2772"/>
      <c r="B18" s="2773"/>
      <c r="C18" s="2774"/>
      <c r="D18" s="1886" t="s">
        <v>115</v>
      </c>
      <c r="E18" s="422">
        <v>170</v>
      </c>
      <c r="F18" s="422"/>
      <c r="G18" s="422"/>
    </row>
    <row r="19" spans="1:12">
      <c r="A19" s="2772"/>
      <c r="B19" s="2773"/>
      <c r="C19" s="2774">
        <v>2</v>
      </c>
      <c r="D19" s="1886" t="s">
        <v>113</v>
      </c>
      <c r="E19" s="422">
        <v>290</v>
      </c>
      <c r="F19" s="422"/>
      <c r="G19" s="422"/>
    </row>
    <row r="20" spans="1:12">
      <c r="A20" s="2772"/>
      <c r="B20" s="2773"/>
      <c r="C20" s="2774"/>
      <c r="D20" s="1886" t="s">
        <v>115</v>
      </c>
      <c r="E20" s="422">
        <v>210</v>
      </c>
      <c r="F20" s="2401"/>
      <c r="G20" s="2401"/>
    </row>
    <row r="21" spans="1:12">
      <c r="A21" s="2772"/>
      <c r="B21" s="2775">
        <v>220</v>
      </c>
      <c r="C21" s="2772">
        <v>1</v>
      </c>
      <c r="D21" s="1886" t="s">
        <v>116</v>
      </c>
      <c r="E21" s="424">
        <v>260</v>
      </c>
      <c r="F21" s="2402"/>
      <c r="G21" s="2402"/>
    </row>
    <row r="22" spans="1:12">
      <c r="A22" s="2772"/>
      <c r="B22" s="2775"/>
      <c r="C22" s="2772"/>
      <c r="D22" s="1886" t="s">
        <v>113</v>
      </c>
      <c r="E22" s="424">
        <v>210</v>
      </c>
      <c r="F22" s="2403"/>
      <c r="G22" s="2403"/>
    </row>
    <row r="23" spans="1:12">
      <c r="A23" s="2772"/>
      <c r="B23" s="2775"/>
      <c r="C23" s="2772"/>
      <c r="D23" s="1886" t="s">
        <v>115</v>
      </c>
      <c r="E23" s="424">
        <v>140</v>
      </c>
      <c r="F23" s="2403"/>
      <c r="G23" s="2403"/>
    </row>
    <row r="24" spans="1:12">
      <c r="A24" s="2772"/>
      <c r="B24" s="2775"/>
      <c r="C24" s="2772">
        <v>2</v>
      </c>
      <c r="D24" s="1886" t="s">
        <v>113</v>
      </c>
      <c r="E24" s="424">
        <v>270</v>
      </c>
      <c r="F24" s="2403">
        <v>0.1</v>
      </c>
      <c r="G24" s="2404">
        <v>0.27</v>
      </c>
    </row>
    <row r="25" spans="1:12">
      <c r="A25" s="2772"/>
      <c r="B25" s="2775"/>
      <c r="C25" s="2772"/>
      <c r="D25" s="1886" t="s">
        <v>115</v>
      </c>
      <c r="E25" s="424">
        <v>180</v>
      </c>
      <c r="F25" s="2403"/>
      <c r="G25" s="2403"/>
    </row>
    <row r="26" spans="1:12">
      <c r="A26" s="2772"/>
      <c r="B26" s="2775" t="s">
        <v>117</v>
      </c>
      <c r="C26" s="2772">
        <v>1</v>
      </c>
      <c r="D26" s="1886" t="s">
        <v>116</v>
      </c>
      <c r="E26" s="424">
        <v>180</v>
      </c>
      <c r="F26" s="2402"/>
      <c r="G26" s="2402"/>
    </row>
    <row r="27" spans="1:12">
      <c r="A27" s="2772"/>
      <c r="B27" s="2775"/>
      <c r="C27" s="2772"/>
      <c r="D27" s="1886" t="s">
        <v>113</v>
      </c>
      <c r="E27" s="424">
        <v>160</v>
      </c>
      <c r="F27" s="2403"/>
      <c r="G27" s="2405">
        <v>0</v>
      </c>
    </row>
    <row r="28" spans="1:12">
      <c r="A28" s="2772"/>
      <c r="B28" s="2775"/>
      <c r="C28" s="2772"/>
      <c r="D28" s="1886" t="s">
        <v>115</v>
      </c>
      <c r="E28" s="424">
        <v>130</v>
      </c>
      <c r="F28" s="2406"/>
      <c r="G28" s="2403"/>
    </row>
    <row r="29" spans="1:12">
      <c r="A29" s="2772"/>
      <c r="B29" s="2775"/>
      <c r="C29" s="2772">
        <v>2</v>
      </c>
      <c r="D29" s="1886" t="s">
        <v>113</v>
      </c>
      <c r="E29" s="424">
        <v>190</v>
      </c>
      <c r="F29" s="2403"/>
      <c r="G29" s="2402"/>
    </row>
    <row r="30" spans="1:12">
      <c r="A30" s="2772"/>
      <c r="B30" s="2775"/>
      <c r="C30" s="2772"/>
      <c r="D30" s="1886" t="s">
        <v>115</v>
      </c>
      <c r="E30" s="424">
        <v>160</v>
      </c>
      <c r="F30" s="2406"/>
      <c r="G30" s="2403"/>
    </row>
    <row r="31" spans="1:12">
      <c r="A31" s="2772" t="s">
        <v>118</v>
      </c>
      <c r="B31" s="430">
        <v>220</v>
      </c>
      <c r="C31" s="422" t="s">
        <v>101</v>
      </c>
      <c r="D31" s="422" t="s">
        <v>101</v>
      </c>
      <c r="E31" s="424">
        <v>3000</v>
      </c>
      <c r="F31" s="2406"/>
      <c r="G31" s="2403"/>
    </row>
    <row r="32" spans="1:12">
      <c r="A32" s="2772"/>
      <c r="B32" s="430">
        <v>110</v>
      </c>
      <c r="C32" s="422" t="s">
        <v>101</v>
      </c>
      <c r="D32" s="422" t="s">
        <v>101</v>
      </c>
      <c r="E32" s="424">
        <v>2300</v>
      </c>
      <c r="F32" s="2406"/>
      <c r="G32" s="2403"/>
    </row>
    <row r="33" spans="1:13">
      <c r="A33" s="2772" t="s">
        <v>171</v>
      </c>
      <c r="B33" s="2772"/>
      <c r="C33" s="2772"/>
      <c r="D33" s="2772"/>
      <c r="E33" s="2772"/>
      <c r="F33" s="2405"/>
      <c r="G33" s="2405">
        <v>0.27</v>
      </c>
      <c r="H33" s="32"/>
      <c r="I33" s="31"/>
      <c r="J33" s="31"/>
      <c r="K33" s="31"/>
      <c r="L33" s="31"/>
    </row>
    <row r="34" spans="1:13">
      <c r="A34" s="2777" t="s">
        <v>112</v>
      </c>
      <c r="B34" s="2778">
        <v>35</v>
      </c>
      <c r="C34" s="2777">
        <v>1</v>
      </c>
      <c r="D34" s="1886" t="s">
        <v>116</v>
      </c>
      <c r="E34" s="424">
        <v>170</v>
      </c>
      <c r="F34" s="2402"/>
      <c r="G34" s="2402"/>
    </row>
    <row r="35" spans="1:13">
      <c r="A35" s="2777"/>
      <c r="B35" s="2778"/>
      <c r="C35" s="2777"/>
      <c r="D35" s="1886" t="s">
        <v>113</v>
      </c>
      <c r="E35" s="424">
        <v>140</v>
      </c>
      <c r="F35" s="2403"/>
      <c r="G35" s="2403"/>
    </row>
    <row r="36" spans="1:13">
      <c r="A36" s="2777"/>
      <c r="B36" s="2778"/>
      <c r="C36" s="2777"/>
      <c r="D36" s="1886" t="s">
        <v>115</v>
      </c>
      <c r="E36" s="424">
        <v>120</v>
      </c>
      <c r="F36" s="2403"/>
      <c r="G36" s="2404">
        <v>0</v>
      </c>
    </row>
    <row r="37" spans="1:13">
      <c r="A37" s="2777"/>
      <c r="B37" s="2778"/>
      <c r="C37" s="2777">
        <v>2</v>
      </c>
      <c r="D37" s="1886" t="s">
        <v>113</v>
      </c>
      <c r="E37" s="424">
        <v>180</v>
      </c>
      <c r="F37" s="2403"/>
      <c r="G37" s="2404">
        <v>0</v>
      </c>
    </row>
    <row r="38" spans="1:13">
      <c r="A38" s="2777"/>
      <c r="B38" s="2778"/>
      <c r="C38" s="2777"/>
      <c r="D38" s="1886" t="s">
        <v>115</v>
      </c>
      <c r="E38" s="424">
        <v>150</v>
      </c>
      <c r="F38" s="2403"/>
      <c r="G38" s="2403"/>
    </row>
    <row r="39" spans="1:13">
      <c r="A39" s="2777"/>
      <c r="B39" s="2779" t="s">
        <v>119</v>
      </c>
      <c r="C39" s="2774" t="s">
        <v>101</v>
      </c>
      <c r="D39" s="424" t="s">
        <v>116</v>
      </c>
      <c r="E39" s="424">
        <v>160</v>
      </c>
      <c r="F39" s="2403"/>
      <c r="G39" s="2403"/>
    </row>
    <row r="40" spans="1:13" ht="26.4">
      <c r="A40" s="2777"/>
      <c r="B40" s="2779"/>
      <c r="C40" s="2774"/>
      <c r="D40" s="433" t="s">
        <v>120</v>
      </c>
      <c r="E40" s="424">
        <v>140</v>
      </c>
      <c r="F40" s="2403"/>
      <c r="G40" s="2407">
        <v>0</v>
      </c>
    </row>
    <row r="41" spans="1:13" ht="26.4">
      <c r="A41" s="2777"/>
      <c r="B41" s="2779"/>
      <c r="C41" s="2774"/>
      <c r="D41" s="433" t="s">
        <v>121</v>
      </c>
      <c r="E41" s="424">
        <v>110</v>
      </c>
      <c r="F41" s="2561">
        <v>5.2359999999999998</v>
      </c>
      <c r="G41" s="2407">
        <v>5.7595999999999989</v>
      </c>
      <c r="J41" s="1909" t="s">
        <v>1045</v>
      </c>
      <c r="K41" s="120"/>
      <c r="L41" s="120"/>
      <c r="M41" s="120"/>
    </row>
    <row r="42" spans="1:13">
      <c r="A42" s="2780" t="s">
        <v>118</v>
      </c>
      <c r="B42" s="430" t="s">
        <v>122</v>
      </c>
      <c r="C42" s="422" t="s">
        <v>101</v>
      </c>
      <c r="D42" s="422" t="s">
        <v>101</v>
      </c>
      <c r="E42" s="424">
        <v>470</v>
      </c>
      <c r="F42" s="2403"/>
      <c r="G42" s="424"/>
      <c r="J42" s="1909"/>
      <c r="K42" s="120"/>
      <c r="L42" s="120"/>
      <c r="M42" s="120"/>
    </row>
    <row r="43" spans="1:13">
      <c r="A43" s="2780"/>
      <c r="B43" s="435" t="s">
        <v>123</v>
      </c>
      <c r="C43" s="436" t="s">
        <v>101</v>
      </c>
      <c r="D43" s="436" t="s">
        <v>101</v>
      </c>
      <c r="E43" s="427">
        <v>350</v>
      </c>
      <c r="F43" s="2562">
        <v>19.184999999999999</v>
      </c>
      <c r="G43" s="434">
        <v>67.147499999999994</v>
      </c>
      <c r="J43" s="1909"/>
      <c r="K43" s="120">
        <v>4320.2</v>
      </c>
      <c r="L43" s="120"/>
      <c r="M43" s="120"/>
    </row>
    <row r="44" spans="1:13">
      <c r="A44" s="2781" t="s">
        <v>124</v>
      </c>
      <c r="B44" s="2781"/>
      <c r="C44" s="2781"/>
      <c r="D44" s="2781"/>
      <c r="E44" s="2781"/>
      <c r="F44" s="2420"/>
      <c r="G44" s="434">
        <v>72.907099999999986</v>
      </c>
      <c r="H44" s="33"/>
      <c r="J44" s="1909"/>
      <c r="K44" s="120"/>
      <c r="L44" s="120"/>
      <c r="M44" s="120"/>
    </row>
    <row r="45" spans="1:13">
      <c r="A45" s="2777" t="s">
        <v>112</v>
      </c>
      <c r="B45" s="2782" t="s">
        <v>125</v>
      </c>
      <c r="C45" s="2777" t="s">
        <v>101</v>
      </c>
      <c r="D45" s="424" t="s">
        <v>116</v>
      </c>
      <c r="E45" s="424">
        <v>260</v>
      </c>
      <c r="F45" s="2403"/>
      <c r="G45" s="424"/>
      <c r="J45" s="1909"/>
      <c r="K45" s="120"/>
      <c r="L45" s="120"/>
      <c r="M45" s="120"/>
    </row>
    <row r="46" spans="1:13" ht="26.4">
      <c r="A46" s="2777"/>
      <c r="B46" s="2782"/>
      <c r="C46" s="2777"/>
      <c r="D46" s="433" t="s">
        <v>120</v>
      </c>
      <c r="E46" s="424">
        <v>220</v>
      </c>
      <c r="F46" s="2403"/>
      <c r="G46" s="434">
        <v>0</v>
      </c>
      <c r="J46" s="1909"/>
      <c r="K46" s="120"/>
      <c r="L46" s="120"/>
      <c r="M46" s="120"/>
    </row>
    <row r="47" spans="1:13" ht="26.4">
      <c r="A47" s="2777"/>
      <c r="B47" s="2782"/>
      <c r="C47" s="2777"/>
      <c r="D47" s="433" t="s">
        <v>121</v>
      </c>
      <c r="E47" s="424">
        <v>150</v>
      </c>
      <c r="F47" s="2563">
        <v>0.41099999999999998</v>
      </c>
      <c r="G47" s="434">
        <v>0.61649999999999994</v>
      </c>
      <c r="J47" s="1909" t="s">
        <v>1045</v>
      </c>
      <c r="K47" s="120"/>
      <c r="L47" s="120"/>
      <c r="M47" s="120"/>
    </row>
    <row r="48" spans="1:13">
      <c r="A48" s="1886" t="s">
        <v>118</v>
      </c>
      <c r="B48" s="432" t="s">
        <v>126</v>
      </c>
      <c r="C48" s="422" t="s">
        <v>101</v>
      </c>
      <c r="D48" s="422" t="s">
        <v>101</v>
      </c>
      <c r="E48" s="424">
        <v>270</v>
      </c>
      <c r="F48" s="2564">
        <v>11.276</v>
      </c>
      <c r="G48" s="434">
        <v>30.4452</v>
      </c>
      <c r="K48" s="120"/>
      <c r="L48" s="120"/>
      <c r="M48" s="120"/>
    </row>
    <row r="49" spans="1:12">
      <c r="A49" s="2776" t="s">
        <v>127</v>
      </c>
      <c r="B49" s="2776"/>
      <c r="C49" s="2776"/>
      <c r="D49" s="2776"/>
      <c r="E49" s="2776"/>
      <c r="F49" s="2776"/>
      <c r="G49" s="434">
        <v>31.061699999999998</v>
      </c>
      <c r="J49" s="1911">
        <v>104.23879999999998</v>
      </c>
      <c r="K49" s="66"/>
      <c r="L49" s="1911"/>
    </row>
    <row r="50" spans="1:12">
      <c r="A50" s="26"/>
      <c r="B50" s="27"/>
      <c r="C50" s="26"/>
      <c r="D50" s="3"/>
      <c r="E50" s="3"/>
      <c r="F50" s="3"/>
      <c r="G50" s="3"/>
      <c r="J50" s="40"/>
      <c r="K50" s="40"/>
      <c r="L50" s="40"/>
    </row>
    <row r="51" spans="1:12" ht="9.75" customHeight="1"/>
    <row r="52" spans="1:12" s="669" customFormat="1" ht="23.25" customHeight="1">
      <c r="A52" s="731" t="s">
        <v>731</v>
      </c>
      <c r="B52" s="667"/>
      <c r="C52" s="668"/>
      <c r="H52" s="1875"/>
    </row>
    <row r="53" spans="1:12" s="669" customFormat="1" ht="15" customHeight="1">
      <c r="A53" s="731" t="s">
        <v>761</v>
      </c>
      <c r="B53" s="671"/>
      <c r="C53" s="668"/>
      <c r="G53" s="672" t="s">
        <v>1923</v>
      </c>
    </row>
    <row r="54" spans="1:12" s="28" customFormat="1">
      <c r="F54" s="29"/>
    </row>
    <row r="55" spans="1:12" s="28" customFormat="1">
      <c r="A55" s="51"/>
      <c r="F55" s="29"/>
    </row>
    <row r="56" spans="1:12" s="28" customFormat="1">
      <c r="A56" s="51"/>
      <c r="F56" s="29"/>
    </row>
  </sheetData>
  <mergeCells count="30">
    <mergeCell ref="A49:F49"/>
    <mergeCell ref="A31:A32"/>
    <mergeCell ref="A33:E33"/>
    <mergeCell ref="A34:A41"/>
    <mergeCell ref="B34:B38"/>
    <mergeCell ref="C34:C36"/>
    <mergeCell ref="C37:C38"/>
    <mergeCell ref="B39:B41"/>
    <mergeCell ref="C39:C41"/>
    <mergeCell ref="A42:A43"/>
    <mergeCell ref="A44:E44"/>
    <mergeCell ref="A45:A47"/>
    <mergeCell ref="B45:B47"/>
    <mergeCell ref="C45:C47"/>
    <mergeCell ref="A10:A11"/>
    <mergeCell ref="B10:B11"/>
    <mergeCell ref="C10:C11"/>
    <mergeCell ref="D10:D11"/>
    <mergeCell ref="A13:A30"/>
    <mergeCell ref="B15:B16"/>
    <mergeCell ref="C15:C16"/>
    <mergeCell ref="B17:B20"/>
    <mergeCell ref="C17:C18"/>
    <mergeCell ref="C19:C20"/>
    <mergeCell ref="B21:B25"/>
    <mergeCell ref="C21:C23"/>
    <mergeCell ref="C24:C25"/>
    <mergeCell ref="B26:B30"/>
    <mergeCell ref="C26:C28"/>
    <mergeCell ref="C29:C30"/>
  </mergeCells>
  <phoneticPr fontId="0" type="noConversion"/>
  <printOptions horizontalCentered="1"/>
  <pageMargins left="0.78740157480314965" right="0.78740157480314965" top="0.78740157480314965" bottom="0.11811023622047245" header="0.51181102362204722" footer="3.937007874015748E-2"/>
  <pageSetup paperSize="9" scale="90" orientation="portrait" r:id="rId1"/>
  <headerFooter alignWithMargins="0"/>
  <colBreaks count="1" manualBreakCount="1">
    <brk id="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 enableFormatConditionsCalculation="0">
    <tabColor rgb="FFCCFF66"/>
  </sheetPr>
  <dimension ref="A1:L71"/>
  <sheetViews>
    <sheetView zoomScaleNormal="100" workbookViewId="0">
      <pane xSplit="3" ySplit="7" topLeftCell="D32" activePane="bottomRight" state="frozenSplit"/>
      <selection activeCell="C26" sqref="C26:C30"/>
      <selection pane="topRight" activeCell="C26" sqref="C26:C30"/>
      <selection pane="bottomLeft" activeCell="C26" sqref="C26:C30"/>
      <selection pane="bottomRight" activeCell="C23" sqref="C23:C30"/>
    </sheetView>
  </sheetViews>
  <sheetFormatPr defaultRowHeight="13.2"/>
  <cols>
    <col min="1" max="1" width="9.109375" style="6"/>
    <col min="2" max="2" width="18" style="6" customWidth="1"/>
    <col min="3" max="3" width="12.88671875" style="6" customWidth="1"/>
    <col min="4" max="4" width="12.33203125" style="6" customWidth="1"/>
    <col min="5" max="5" width="11" style="6" customWidth="1"/>
    <col min="6" max="6" width="10.5546875" style="6" customWidth="1"/>
    <col min="7" max="8" width="9.109375" style="6"/>
    <col min="9" max="14" width="0" style="6" hidden="1" customWidth="1"/>
    <col min="15" max="257" width="9.109375" style="6"/>
    <col min="258" max="258" width="18" style="6" customWidth="1"/>
    <col min="259" max="259" width="12.88671875" style="6" customWidth="1"/>
    <col min="260" max="260" width="12.33203125" style="6" customWidth="1"/>
    <col min="261" max="261" width="11" style="6" customWidth="1"/>
    <col min="262" max="262" width="10.5546875" style="6" customWidth="1"/>
    <col min="263" max="513" width="9.109375" style="6"/>
    <col min="514" max="514" width="18" style="6" customWidth="1"/>
    <col min="515" max="515" width="12.88671875" style="6" customWidth="1"/>
    <col min="516" max="516" width="12.33203125" style="6" customWidth="1"/>
    <col min="517" max="517" width="11" style="6" customWidth="1"/>
    <col min="518" max="518" width="10.5546875" style="6" customWidth="1"/>
    <col min="519" max="769" width="9.109375" style="6"/>
    <col min="770" max="770" width="18" style="6" customWidth="1"/>
    <col min="771" max="771" width="12.88671875" style="6" customWidth="1"/>
    <col min="772" max="772" width="12.33203125" style="6" customWidth="1"/>
    <col min="773" max="773" width="11" style="6" customWidth="1"/>
    <col min="774" max="774" width="10.5546875" style="6" customWidth="1"/>
    <col min="775" max="1025" width="9.109375" style="6"/>
    <col min="1026" max="1026" width="18" style="6" customWidth="1"/>
    <col min="1027" max="1027" width="12.88671875" style="6" customWidth="1"/>
    <col min="1028" max="1028" width="12.33203125" style="6" customWidth="1"/>
    <col min="1029" max="1029" width="11" style="6" customWidth="1"/>
    <col min="1030" max="1030" width="10.5546875" style="6" customWidth="1"/>
    <col min="1031" max="1281" width="9.109375" style="6"/>
    <col min="1282" max="1282" width="18" style="6" customWidth="1"/>
    <col min="1283" max="1283" width="12.88671875" style="6" customWidth="1"/>
    <col min="1284" max="1284" width="12.33203125" style="6" customWidth="1"/>
    <col min="1285" max="1285" width="11" style="6" customWidth="1"/>
    <col min="1286" max="1286" width="10.5546875" style="6" customWidth="1"/>
    <col min="1287" max="1537" width="9.109375" style="6"/>
    <col min="1538" max="1538" width="18" style="6" customWidth="1"/>
    <col min="1539" max="1539" width="12.88671875" style="6" customWidth="1"/>
    <col min="1540" max="1540" width="12.33203125" style="6" customWidth="1"/>
    <col min="1541" max="1541" width="11" style="6" customWidth="1"/>
    <col min="1542" max="1542" width="10.5546875" style="6" customWidth="1"/>
    <col min="1543" max="1793" width="9.109375" style="6"/>
    <col min="1794" max="1794" width="18" style="6" customWidth="1"/>
    <col min="1795" max="1795" width="12.88671875" style="6" customWidth="1"/>
    <col min="1796" max="1796" width="12.33203125" style="6" customWidth="1"/>
    <col min="1797" max="1797" width="11" style="6" customWidth="1"/>
    <col min="1798" max="1798" width="10.5546875" style="6" customWidth="1"/>
    <col min="1799" max="2049" width="9.109375" style="6"/>
    <col min="2050" max="2050" width="18" style="6" customWidth="1"/>
    <col min="2051" max="2051" width="12.88671875" style="6" customWidth="1"/>
    <col min="2052" max="2052" width="12.33203125" style="6" customWidth="1"/>
    <col min="2053" max="2053" width="11" style="6" customWidth="1"/>
    <col min="2054" max="2054" width="10.5546875" style="6" customWidth="1"/>
    <col min="2055" max="2305" width="9.109375" style="6"/>
    <col min="2306" max="2306" width="18" style="6" customWidth="1"/>
    <col min="2307" max="2307" width="12.88671875" style="6" customWidth="1"/>
    <col min="2308" max="2308" width="12.33203125" style="6" customWidth="1"/>
    <col min="2309" max="2309" width="11" style="6" customWidth="1"/>
    <col min="2310" max="2310" width="10.5546875" style="6" customWidth="1"/>
    <col min="2311" max="2561" width="9.109375" style="6"/>
    <col min="2562" max="2562" width="18" style="6" customWidth="1"/>
    <col min="2563" max="2563" width="12.88671875" style="6" customWidth="1"/>
    <col min="2564" max="2564" width="12.33203125" style="6" customWidth="1"/>
    <col min="2565" max="2565" width="11" style="6" customWidth="1"/>
    <col min="2566" max="2566" width="10.5546875" style="6" customWidth="1"/>
    <col min="2567" max="2817" width="9.109375" style="6"/>
    <col min="2818" max="2818" width="18" style="6" customWidth="1"/>
    <col min="2819" max="2819" width="12.88671875" style="6" customWidth="1"/>
    <col min="2820" max="2820" width="12.33203125" style="6" customWidth="1"/>
    <col min="2821" max="2821" width="11" style="6" customWidth="1"/>
    <col min="2822" max="2822" width="10.5546875" style="6" customWidth="1"/>
    <col min="2823" max="3073" width="9.109375" style="6"/>
    <col min="3074" max="3074" width="18" style="6" customWidth="1"/>
    <col min="3075" max="3075" width="12.88671875" style="6" customWidth="1"/>
    <col min="3076" max="3076" width="12.33203125" style="6" customWidth="1"/>
    <col min="3077" max="3077" width="11" style="6" customWidth="1"/>
    <col min="3078" max="3078" width="10.5546875" style="6" customWidth="1"/>
    <col min="3079" max="3329" width="9.109375" style="6"/>
    <col min="3330" max="3330" width="18" style="6" customWidth="1"/>
    <col min="3331" max="3331" width="12.88671875" style="6" customWidth="1"/>
    <col min="3332" max="3332" width="12.33203125" style="6" customWidth="1"/>
    <col min="3333" max="3333" width="11" style="6" customWidth="1"/>
    <col min="3334" max="3334" width="10.5546875" style="6" customWidth="1"/>
    <col min="3335" max="3585" width="9.109375" style="6"/>
    <col min="3586" max="3586" width="18" style="6" customWidth="1"/>
    <col min="3587" max="3587" width="12.88671875" style="6" customWidth="1"/>
    <col min="3588" max="3588" width="12.33203125" style="6" customWidth="1"/>
    <col min="3589" max="3589" width="11" style="6" customWidth="1"/>
    <col min="3590" max="3590" width="10.5546875" style="6" customWidth="1"/>
    <col min="3591" max="3841" width="9.109375" style="6"/>
    <col min="3842" max="3842" width="18" style="6" customWidth="1"/>
    <col min="3843" max="3843" width="12.88671875" style="6" customWidth="1"/>
    <col min="3844" max="3844" width="12.33203125" style="6" customWidth="1"/>
    <col min="3845" max="3845" width="11" style="6" customWidth="1"/>
    <col min="3846" max="3846" width="10.5546875" style="6" customWidth="1"/>
    <col min="3847" max="4097" width="9.109375" style="6"/>
    <col min="4098" max="4098" width="18" style="6" customWidth="1"/>
    <col min="4099" max="4099" width="12.88671875" style="6" customWidth="1"/>
    <col min="4100" max="4100" width="12.33203125" style="6" customWidth="1"/>
    <col min="4101" max="4101" width="11" style="6" customWidth="1"/>
    <col min="4102" max="4102" width="10.5546875" style="6" customWidth="1"/>
    <col min="4103" max="4353" width="9.109375" style="6"/>
    <col min="4354" max="4354" width="18" style="6" customWidth="1"/>
    <col min="4355" max="4355" width="12.88671875" style="6" customWidth="1"/>
    <col min="4356" max="4356" width="12.33203125" style="6" customWidth="1"/>
    <col min="4357" max="4357" width="11" style="6" customWidth="1"/>
    <col min="4358" max="4358" width="10.5546875" style="6" customWidth="1"/>
    <col min="4359" max="4609" width="9.109375" style="6"/>
    <col min="4610" max="4610" width="18" style="6" customWidth="1"/>
    <col min="4611" max="4611" width="12.88671875" style="6" customWidth="1"/>
    <col min="4612" max="4612" width="12.33203125" style="6" customWidth="1"/>
    <col min="4613" max="4613" width="11" style="6" customWidth="1"/>
    <col min="4614" max="4614" width="10.5546875" style="6" customWidth="1"/>
    <col min="4615" max="4865" width="9.109375" style="6"/>
    <col min="4866" max="4866" width="18" style="6" customWidth="1"/>
    <col min="4867" max="4867" width="12.88671875" style="6" customWidth="1"/>
    <col min="4868" max="4868" width="12.33203125" style="6" customWidth="1"/>
    <col min="4869" max="4869" width="11" style="6" customWidth="1"/>
    <col min="4870" max="4870" width="10.5546875" style="6" customWidth="1"/>
    <col min="4871" max="5121" width="9.109375" style="6"/>
    <col min="5122" max="5122" width="18" style="6" customWidth="1"/>
    <col min="5123" max="5123" width="12.88671875" style="6" customWidth="1"/>
    <col min="5124" max="5124" width="12.33203125" style="6" customWidth="1"/>
    <col min="5125" max="5125" width="11" style="6" customWidth="1"/>
    <col min="5126" max="5126" width="10.5546875" style="6" customWidth="1"/>
    <col min="5127" max="5377" width="9.109375" style="6"/>
    <col min="5378" max="5378" width="18" style="6" customWidth="1"/>
    <col min="5379" max="5379" width="12.88671875" style="6" customWidth="1"/>
    <col min="5380" max="5380" width="12.33203125" style="6" customWidth="1"/>
    <col min="5381" max="5381" width="11" style="6" customWidth="1"/>
    <col min="5382" max="5382" width="10.5546875" style="6" customWidth="1"/>
    <col min="5383" max="5633" width="9.109375" style="6"/>
    <col min="5634" max="5634" width="18" style="6" customWidth="1"/>
    <col min="5635" max="5635" width="12.88671875" style="6" customWidth="1"/>
    <col min="5636" max="5636" width="12.33203125" style="6" customWidth="1"/>
    <col min="5637" max="5637" width="11" style="6" customWidth="1"/>
    <col min="5638" max="5638" width="10.5546875" style="6" customWidth="1"/>
    <col min="5639" max="5889" width="9.109375" style="6"/>
    <col min="5890" max="5890" width="18" style="6" customWidth="1"/>
    <col min="5891" max="5891" width="12.88671875" style="6" customWidth="1"/>
    <col min="5892" max="5892" width="12.33203125" style="6" customWidth="1"/>
    <col min="5893" max="5893" width="11" style="6" customWidth="1"/>
    <col min="5894" max="5894" width="10.5546875" style="6" customWidth="1"/>
    <col min="5895" max="6145" width="9.109375" style="6"/>
    <col min="6146" max="6146" width="18" style="6" customWidth="1"/>
    <col min="6147" max="6147" width="12.88671875" style="6" customWidth="1"/>
    <col min="6148" max="6148" width="12.33203125" style="6" customWidth="1"/>
    <col min="6149" max="6149" width="11" style="6" customWidth="1"/>
    <col min="6150" max="6150" width="10.5546875" style="6" customWidth="1"/>
    <col min="6151" max="6401" width="9.109375" style="6"/>
    <col min="6402" max="6402" width="18" style="6" customWidth="1"/>
    <col min="6403" max="6403" width="12.88671875" style="6" customWidth="1"/>
    <col min="6404" max="6404" width="12.33203125" style="6" customWidth="1"/>
    <col min="6405" max="6405" width="11" style="6" customWidth="1"/>
    <col min="6406" max="6406" width="10.5546875" style="6" customWidth="1"/>
    <col min="6407" max="6657" width="9.109375" style="6"/>
    <col min="6658" max="6658" width="18" style="6" customWidth="1"/>
    <col min="6659" max="6659" width="12.88671875" style="6" customWidth="1"/>
    <col min="6660" max="6660" width="12.33203125" style="6" customWidth="1"/>
    <col min="6661" max="6661" width="11" style="6" customWidth="1"/>
    <col min="6662" max="6662" width="10.5546875" style="6" customWidth="1"/>
    <col min="6663" max="6913" width="9.109375" style="6"/>
    <col min="6914" max="6914" width="18" style="6" customWidth="1"/>
    <col min="6915" max="6915" width="12.88671875" style="6" customWidth="1"/>
    <col min="6916" max="6916" width="12.33203125" style="6" customWidth="1"/>
    <col min="6917" max="6917" width="11" style="6" customWidth="1"/>
    <col min="6918" max="6918" width="10.5546875" style="6" customWidth="1"/>
    <col min="6919" max="7169" width="9.109375" style="6"/>
    <col min="7170" max="7170" width="18" style="6" customWidth="1"/>
    <col min="7171" max="7171" width="12.88671875" style="6" customWidth="1"/>
    <col min="7172" max="7172" width="12.33203125" style="6" customWidth="1"/>
    <col min="7173" max="7173" width="11" style="6" customWidth="1"/>
    <col min="7174" max="7174" width="10.5546875" style="6" customWidth="1"/>
    <col min="7175" max="7425" width="9.109375" style="6"/>
    <col min="7426" max="7426" width="18" style="6" customWidth="1"/>
    <col min="7427" max="7427" width="12.88671875" style="6" customWidth="1"/>
    <col min="7428" max="7428" width="12.33203125" style="6" customWidth="1"/>
    <col min="7429" max="7429" width="11" style="6" customWidth="1"/>
    <col min="7430" max="7430" width="10.5546875" style="6" customWidth="1"/>
    <col min="7431" max="7681" width="9.109375" style="6"/>
    <col min="7682" max="7682" width="18" style="6" customWidth="1"/>
    <col min="7683" max="7683" width="12.88671875" style="6" customWidth="1"/>
    <col min="7684" max="7684" width="12.33203125" style="6" customWidth="1"/>
    <col min="7685" max="7685" width="11" style="6" customWidth="1"/>
    <col min="7686" max="7686" width="10.5546875" style="6" customWidth="1"/>
    <col min="7687" max="7937" width="9.109375" style="6"/>
    <col min="7938" max="7938" width="18" style="6" customWidth="1"/>
    <col min="7939" max="7939" width="12.88671875" style="6" customWidth="1"/>
    <col min="7940" max="7940" width="12.33203125" style="6" customWidth="1"/>
    <col min="7941" max="7941" width="11" style="6" customWidth="1"/>
    <col min="7942" max="7942" width="10.5546875" style="6" customWidth="1"/>
    <col min="7943" max="8193" width="9.109375" style="6"/>
    <col min="8194" max="8194" width="18" style="6" customWidth="1"/>
    <col min="8195" max="8195" width="12.88671875" style="6" customWidth="1"/>
    <col min="8196" max="8196" width="12.33203125" style="6" customWidth="1"/>
    <col min="8197" max="8197" width="11" style="6" customWidth="1"/>
    <col min="8198" max="8198" width="10.5546875" style="6" customWidth="1"/>
    <col min="8199" max="8449" width="9.109375" style="6"/>
    <col min="8450" max="8450" width="18" style="6" customWidth="1"/>
    <col min="8451" max="8451" width="12.88671875" style="6" customWidth="1"/>
    <col min="8452" max="8452" width="12.33203125" style="6" customWidth="1"/>
    <col min="8453" max="8453" width="11" style="6" customWidth="1"/>
    <col min="8454" max="8454" width="10.5546875" style="6" customWidth="1"/>
    <col min="8455" max="8705" width="9.109375" style="6"/>
    <col min="8706" max="8706" width="18" style="6" customWidth="1"/>
    <col min="8707" max="8707" width="12.88671875" style="6" customWidth="1"/>
    <col min="8708" max="8708" width="12.33203125" style="6" customWidth="1"/>
    <col min="8709" max="8709" width="11" style="6" customWidth="1"/>
    <col min="8710" max="8710" width="10.5546875" style="6" customWidth="1"/>
    <col min="8711" max="8961" width="9.109375" style="6"/>
    <col min="8962" max="8962" width="18" style="6" customWidth="1"/>
    <col min="8963" max="8963" width="12.88671875" style="6" customWidth="1"/>
    <col min="8964" max="8964" width="12.33203125" style="6" customWidth="1"/>
    <col min="8965" max="8965" width="11" style="6" customWidth="1"/>
    <col min="8966" max="8966" width="10.5546875" style="6" customWidth="1"/>
    <col min="8967" max="9217" width="9.109375" style="6"/>
    <col min="9218" max="9218" width="18" style="6" customWidth="1"/>
    <col min="9219" max="9219" width="12.88671875" style="6" customWidth="1"/>
    <col min="9220" max="9220" width="12.33203125" style="6" customWidth="1"/>
    <col min="9221" max="9221" width="11" style="6" customWidth="1"/>
    <col min="9222" max="9222" width="10.5546875" style="6" customWidth="1"/>
    <col min="9223" max="9473" width="9.109375" style="6"/>
    <col min="9474" max="9474" width="18" style="6" customWidth="1"/>
    <col min="9475" max="9475" width="12.88671875" style="6" customWidth="1"/>
    <col min="9476" max="9476" width="12.33203125" style="6" customWidth="1"/>
    <col min="9477" max="9477" width="11" style="6" customWidth="1"/>
    <col min="9478" max="9478" width="10.5546875" style="6" customWidth="1"/>
    <col min="9479" max="9729" width="9.109375" style="6"/>
    <col min="9730" max="9730" width="18" style="6" customWidth="1"/>
    <col min="9731" max="9731" width="12.88671875" style="6" customWidth="1"/>
    <col min="9732" max="9732" width="12.33203125" style="6" customWidth="1"/>
    <col min="9733" max="9733" width="11" style="6" customWidth="1"/>
    <col min="9734" max="9734" width="10.5546875" style="6" customWidth="1"/>
    <col min="9735" max="9985" width="9.109375" style="6"/>
    <col min="9986" max="9986" width="18" style="6" customWidth="1"/>
    <col min="9987" max="9987" width="12.88671875" style="6" customWidth="1"/>
    <col min="9988" max="9988" width="12.33203125" style="6" customWidth="1"/>
    <col min="9989" max="9989" width="11" style="6" customWidth="1"/>
    <col min="9990" max="9990" width="10.5546875" style="6" customWidth="1"/>
    <col min="9991" max="10241" width="9.109375" style="6"/>
    <col min="10242" max="10242" width="18" style="6" customWidth="1"/>
    <col min="10243" max="10243" width="12.88671875" style="6" customWidth="1"/>
    <col min="10244" max="10244" width="12.33203125" style="6" customWidth="1"/>
    <col min="10245" max="10245" width="11" style="6" customWidth="1"/>
    <col min="10246" max="10246" width="10.5546875" style="6" customWidth="1"/>
    <col min="10247" max="10497" width="9.109375" style="6"/>
    <col min="10498" max="10498" width="18" style="6" customWidth="1"/>
    <col min="10499" max="10499" width="12.88671875" style="6" customWidth="1"/>
    <col min="10500" max="10500" width="12.33203125" style="6" customWidth="1"/>
    <col min="10501" max="10501" width="11" style="6" customWidth="1"/>
    <col min="10502" max="10502" width="10.5546875" style="6" customWidth="1"/>
    <col min="10503" max="10753" width="9.109375" style="6"/>
    <col min="10754" max="10754" width="18" style="6" customWidth="1"/>
    <col min="10755" max="10755" width="12.88671875" style="6" customWidth="1"/>
    <col min="10756" max="10756" width="12.33203125" style="6" customWidth="1"/>
    <col min="10757" max="10757" width="11" style="6" customWidth="1"/>
    <col min="10758" max="10758" width="10.5546875" style="6" customWidth="1"/>
    <col min="10759" max="11009" width="9.109375" style="6"/>
    <col min="11010" max="11010" width="18" style="6" customWidth="1"/>
    <col min="11011" max="11011" width="12.88671875" style="6" customWidth="1"/>
    <col min="11012" max="11012" width="12.33203125" style="6" customWidth="1"/>
    <col min="11013" max="11013" width="11" style="6" customWidth="1"/>
    <col min="11014" max="11014" width="10.5546875" style="6" customWidth="1"/>
    <col min="11015" max="11265" width="9.109375" style="6"/>
    <col min="11266" max="11266" width="18" style="6" customWidth="1"/>
    <col min="11267" max="11267" width="12.88671875" style="6" customWidth="1"/>
    <col min="11268" max="11268" width="12.33203125" style="6" customWidth="1"/>
    <col min="11269" max="11269" width="11" style="6" customWidth="1"/>
    <col min="11270" max="11270" width="10.5546875" style="6" customWidth="1"/>
    <col min="11271" max="11521" width="9.109375" style="6"/>
    <col min="11522" max="11522" width="18" style="6" customWidth="1"/>
    <col min="11523" max="11523" width="12.88671875" style="6" customWidth="1"/>
    <col min="11524" max="11524" width="12.33203125" style="6" customWidth="1"/>
    <col min="11525" max="11525" width="11" style="6" customWidth="1"/>
    <col min="11526" max="11526" width="10.5546875" style="6" customWidth="1"/>
    <col min="11527" max="11777" width="9.109375" style="6"/>
    <col min="11778" max="11778" width="18" style="6" customWidth="1"/>
    <col min="11779" max="11779" width="12.88671875" style="6" customWidth="1"/>
    <col min="11780" max="11780" width="12.33203125" style="6" customWidth="1"/>
    <col min="11781" max="11781" width="11" style="6" customWidth="1"/>
    <col min="11782" max="11782" width="10.5546875" style="6" customWidth="1"/>
    <col min="11783" max="12033" width="9.109375" style="6"/>
    <col min="12034" max="12034" width="18" style="6" customWidth="1"/>
    <col min="12035" max="12035" width="12.88671875" style="6" customWidth="1"/>
    <col min="12036" max="12036" width="12.33203125" style="6" customWidth="1"/>
    <col min="12037" max="12037" width="11" style="6" customWidth="1"/>
    <col min="12038" max="12038" width="10.5546875" style="6" customWidth="1"/>
    <col min="12039" max="12289" width="9.109375" style="6"/>
    <col min="12290" max="12290" width="18" style="6" customWidth="1"/>
    <col min="12291" max="12291" width="12.88671875" style="6" customWidth="1"/>
    <col min="12292" max="12292" width="12.33203125" style="6" customWidth="1"/>
    <col min="12293" max="12293" width="11" style="6" customWidth="1"/>
    <col min="12294" max="12294" width="10.5546875" style="6" customWidth="1"/>
    <col min="12295" max="12545" width="9.109375" style="6"/>
    <col min="12546" max="12546" width="18" style="6" customWidth="1"/>
    <col min="12547" max="12547" width="12.88671875" style="6" customWidth="1"/>
    <col min="12548" max="12548" width="12.33203125" style="6" customWidth="1"/>
    <col min="12549" max="12549" width="11" style="6" customWidth="1"/>
    <col min="12550" max="12550" width="10.5546875" style="6" customWidth="1"/>
    <col min="12551" max="12801" width="9.109375" style="6"/>
    <col min="12802" max="12802" width="18" style="6" customWidth="1"/>
    <col min="12803" max="12803" width="12.88671875" style="6" customWidth="1"/>
    <col min="12804" max="12804" width="12.33203125" style="6" customWidth="1"/>
    <col min="12805" max="12805" width="11" style="6" customWidth="1"/>
    <col min="12806" max="12806" width="10.5546875" style="6" customWidth="1"/>
    <col min="12807" max="13057" width="9.109375" style="6"/>
    <col min="13058" max="13058" width="18" style="6" customWidth="1"/>
    <col min="13059" max="13059" width="12.88671875" style="6" customWidth="1"/>
    <col min="13060" max="13060" width="12.33203125" style="6" customWidth="1"/>
    <col min="13061" max="13061" width="11" style="6" customWidth="1"/>
    <col min="13062" max="13062" width="10.5546875" style="6" customWidth="1"/>
    <col min="13063" max="13313" width="9.109375" style="6"/>
    <col min="13314" max="13314" width="18" style="6" customWidth="1"/>
    <col min="13315" max="13315" width="12.88671875" style="6" customWidth="1"/>
    <col min="13316" max="13316" width="12.33203125" style="6" customWidth="1"/>
    <col min="13317" max="13317" width="11" style="6" customWidth="1"/>
    <col min="13318" max="13318" width="10.5546875" style="6" customWidth="1"/>
    <col min="13319" max="13569" width="9.109375" style="6"/>
    <col min="13570" max="13570" width="18" style="6" customWidth="1"/>
    <col min="13571" max="13571" width="12.88671875" style="6" customWidth="1"/>
    <col min="13572" max="13572" width="12.33203125" style="6" customWidth="1"/>
    <col min="13573" max="13573" width="11" style="6" customWidth="1"/>
    <col min="13574" max="13574" width="10.5546875" style="6" customWidth="1"/>
    <col min="13575" max="13825" width="9.109375" style="6"/>
    <col min="13826" max="13826" width="18" style="6" customWidth="1"/>
    <col min="13827" max="13827" width="12.88671875" style="6" customWidth="1"/>
    <col min="13828" max="13828" width="12.33203125" style="6" customWidth="1"/>
    <col min="13829" max="13829" width="11" style="6" customWidth="1"/>
    <col min="13830" max="13830" width="10.5546875" style="6" customWidth="1"/>
    <col min="13831" max="14081" width="9.109375" style="6"/>
    <col min="14082" max="14082" width="18" style="6" customWidth="1"/>
    <col min="14083" max="14083" width="12.88671875" style="6" customWidth="1"/>
    <col min="14084" max="14084" width="12.33203125" style="6" customWidth="1"/>
    <col min="14085" max="14085" width="11" style="6" customWidth="1"/>
    <col min="14086" max="14086" width="10.5546875" style="6" customWidth="1"/>
    <col min="14087" max="14337" width="9.109375" style="6"/>
    <col min="14338" max="14338" width="18" style="6" customWidth="1"/>
    <col min="14339" max="14339" width="12.88671875" style="6" customWidth="1"/>
    <col min="14340" max="14340" width="12.33203125" style="6" customWidth="1"/>
    <col min="14341" max="14341" width="11" style="6" customWidth="1"/>
    <col min="14342" max="14342" width="10.5546875" style="6" customWidth="1"/>
    <col min="14343" max="14593" width="9.109375" style="6"/>
    <col min="14594" max="14594" width="18" style="6" customWidth="1"/>
    <col min="14595" max="14595" width="12.88671875" style="6" customWidth="1"/>
    <col min="14596" max="14596" width="12.33203125" style="6" customWidth="1"/>
    <col min="14597" max="14597" width="11" style="6" customWidth="1"/>
    <col min="14598" max="14598" width="10.5546875" style="6" customWidth="1"/>
    <col min="14599" max="14849" width="9.109375" style="6"/>
    <col min="14850" max="14850" width="18" style="6" customWidth="1"/>
    <col min="14851" max="14851" width="12.88671875" style="6" customWidth="1"/>
    <col min="14852" max="14852" width="12.33203125" style="6" customWidth="1"/>
    <col min="14853" max="14853" width="11" style="6" customWidth="1"/>
    <col min="14854" max="14854" width="10.5546875" style="6" customWidth="1"/>
    <col min="14855" max="15105" width="9.109375" style="6"/>
    <col min="15106" max="15106" width="18" style="6" customWidth="1"/>
    <col min="15107" max="15107" width="12.88671875" style="6" customWidth="1"/>
    <col min="15108" max="15108" width="12.33203125" style="6" customWidth="1"/>
    <col min="15109" max="15109" width="11" style="6" customWidth="1"/>
    <col min="15110" max="15110" width="10.5546875" style="6" customWidth="1"/>
    <col min="15111" max="15361" width="9.109375" style="6"/>
    <col min="15362" max="15362" width="18" style="6" customWidth="1"/>
    <col min="15363" max="15363" width="12.88671875" style="6" customWidth="1"/>
    <col min="15364" max="15364" width="12.33203125" style="6" customWidth="1"/>
    <col min="15365" max="15365" width="11" style="6" customWidth="1"/>
    <col min="15366" max="15366" width="10.5546875" style="6" customWidth="1"/>
    <col min="15367" max="15617" width="9.109375" style="6"/>
    <col min="15618" max="15618" width="18" style="6" customWidth="1"/>
    <col min="15619" max="15619" width="12.88671875" style="6" customWidth="1"/>
    <col min="15620" max="15620" width="12.33203125" style="6" customWidth="1"/>
    <col min="15621" max="15621" width="11" style="6" customWidth="1"/>
    <col min="15622" max="15622" width="10.5546875" style="6" customWidth="1"/>
    <col min="15623" max="15873" width="9.109375" style="6"/>
    <col min="15874" max="15874" width="18" style="6" customWidth="1"/>
    <col min="15875" max="15875" width="12.88671875" style="6" customWidth="1"/>
    <col min="15876" max="15876" width="12.33203125" style="6" customWidth="1"/>
    <col min="15877" max="15877" width="11" style="6" customWidth="1"/>
    <col min="15878" max="15878" width="10.5546875" style="6" customWidth="1"/>
    <col min="15879" max="16129" width="9.109375" style="6"/>
    <col min="16130" max="16130" width="18" style="6" customWidth="1"/>
    <col min="16131" max="16131" width="12.88671875" style="6" customWidth="1"/>
    <col min="16132" max="16132" width="12.33203125" style="6" customWidth="1"/>
    <col min="16133" max="16133" width="11" style="6" customWidth="1"/>
    <col min="16134" max="16134" width="10.5546875" style="6" customWidth="1"/>
    <col min="16135" max="16384" width="9.109375" style="6"/>
  </cols>
  <sheetData>
    <row r="1" spans="1:12">
      <c r="G1" s="1906" t="s">
        <v>128</v>
      </c>
    </row>
    <row r="2" spans="1:12" ht="33.75" customHeight="1">
      <c r="A2" s="53" t="s">
        <v>240</v>
      </c>
      <c r="B2" s="53"/>
      <c r="C2" s="53"/>
      <c r="D2" s="53"/>
      <c r="E2" s="53"/>
      <c r="F2" s="53"/>
      <c r="G2" s="53"/>
    </row>
    <row r="3" spans="1:12" ht="14.25" customHeight="1">
      <c r="A3" s="67" t="s">
        <v>1824</v>
      </c>
      <c r="B3" s="53"/>
      <c r="C3" s="53"/>
      <c r="D3" s="53"/>
      <c r="E3" s="53"/>
      <c r="F3" s="53"/>
      <c r="G3" s="53"/>
    </row>
    <row r="4" spans="1:12" ht="14.25" customHeight="1">
      <c r="A4" s="1871" t="s">
        <v>1499</v>
      </c>
      <c r="B4" s="2054"/>
      <c r="C4" s="2054"/>
      <c r="D4" s="2054"/>
      <c r="E4" s="2054"/>
      <c r="F4" s="2054"/>
      <c r="G4" s="2047" t="s">
        <v>1733</v>
      </c>
    </row>
    <row r="5" spans="1:12" ht="66">
      <c r="A5" s="2770" t="s">
        <v>54</v>
      </c>
      <c r="B5" s="2770" t="s">
        <v>71</v>
      </c>
      <c r="C5" s="2770" t="s">
        <v>129</v>
      </c>
      <c r="D5" s="2770" t="s">
        <v>103</v>
      </c>
      <c r="E5" s="1887" t="s">
        <v>130</v>
      </c>
      <c r="F5" s="1887" t="s">
        <v>131</v>
      </c>
      <c r="G5" s="1887" t="s">
        <v>108</v>
      </c>
    </row>
    <row r="6" spans="1:12">
      <c r="A6" s="2771"/>
      <c r="B6" s="2771"/>
      <c r="C6" s="2771"/>
      <c r="D6" s="2787"/>
      <c r="E6" s="1887" t="s">
        <v>132</v>
      </c>
      <c r="F6" s="1887" t="s">
        <v>133</v>
      </c>
      <c r="G6" s="1887" t="s">
        <v>111</v>
      </c>
    </row>
    <row r="7" spans="1:12">
      <c r="A7" s="422">
        <v>1</v>
      </c>
      <c r="B7" s="422">
        <v>2</v>
      </c>
      <c r="C7" s="422">
        <v>3</v>
      </c>
      <c r="D7" s="422">
        <v>4</v>
      </c>
      <c r="E7" s="422">
        <v>5</v>
      </c>
      <c r="F7" s="422">
        <v>6</v>
      </c>
      <c r="G7" s="422" t="s">
        <v>134</v>
      </c>
    </row>
    <row r="8" spans="1:12">
      <c r="A8" s="2772">
        <v>1</v>
      </c>
      <c r="B8" s="2777" t="s">
        <v>135</v>
      </c>
      <c r="C8" s="2777" t="s">
        <v>136</v>
      </c>
      <c r="D8" s="427">
        <v>1150</v>
      </c>
      <c r="E8" s="1885">
        <v>1000</v>
      </c>
      <c r="F8" s="743"/>
      <c r="G8" s="1886"/>
    </row>
    <row r="9" spans="1:12">
      <c r="A9" s="2772"/>
      <c r="B9" s="2777"/>
      <c r="C9" s="2777"/>
      <c r="D9" s="427">
        <v>750</v>
      </c>
      <c r="E9" s="1885">
        <v>600</v>
      </c>
      <c r="F9" s="743"/>
      <c r="G9" s="1886"/>
    </row>
    <row r="10" spans="1:12">
      <c r="A10" s="2772"/>
      <c r="B10" s="2777"/>
      <c r="C10" s="2777"/>
      <c r="D10" s="1886" t="s">
        <v>137</v>
      </c>
      <c r="E10" s="1885">
        <v>500</v>
      </c>
      <c r="F10" s="743"/>
      <c r="G10" s="1886"/>
    </row>
    <row r="11" spans="1:12">
      <c r="A11" s="2772"/>
      <c r="B11" s="2777"/>
      <c r="C11" s="2777"/>
      <c r="D11" s="1886">
        <v>330</v>
      </c>
      <c r="E11" s="1885">
        <v>250</v>
      </c>
      <c r="F11" s="743"/>
      <c r="G11" s="1886"/>
      <c r="J11" s="6" t="s">
        <v>1732</v>
      </c>
      <c r="L11" s="6" t="s">
        <v>1045</v>
      </c>
    </row>
    <row r="12" spans="1:12">
      <c r="A12" s="2772"/>
      <c r="B12" s="2777"/>
      <c r="C12" s="2777"/>
      <c r="D12" s="1886">
        <v>220</v>
      </c>
      <c r="E12" s="1885">
        <v>210</v>
      </c>
      <c r="F12" s="743">
        <v>1</v>
      </c>
      <c r="G12" s="437">
        <v>210</v>
      </c>
      <c r="I12" s="6">
        <v>1</v>
      </c>
      <c r="J12" s="6">
        <v>0</v>
      </c>
      <c r="K12" s="6">
        <v>0</v>
      </c>
      <c r="L12" s="6">
        <v>0</v>
      </c>
    </row>
    <row r="13" spans="1:12">
      <c r="A13" s="2772"/>
      <c r="B13" s="2777"/>
      <c r="C13" s="2777"/>
      <c r="D13" s="1886" t="s">
        <v>138</v>
      </c>
      <c r="E13" s="1885">
        <v>105</v>
      </c>
      <c r="F13" s="744"/>
      <c r="G13" s="437">
        <v>0</v>
      </c>
      <c r="J13" s="6">
        <v>0</v>
      </c>
      <c r="K13" s="6">
        <v>0</v>
      </c>
      <c r="L13" s="6">
        <v>0</v>
      </c>
    </row>
    <row r="14" spans="1:12">
      <c r="A14" s="2772"/>
      <c r="B14" s="2777"/>
      <c r="C14" s="2777"/>
      <c r="D14" s="1886">
        <v>35</v>
      </c>
      <c r="E14" s="1885">
        <v>75</v>
      </c>
      <c r="F14" s="745"/>
      <c r="G14" s="437">
        <v>0</v>
      </c>
      <c r="J14" s="6">
        <v>0</v>
      </c>
      <c r="K14" s="6">
        <v>0</v>
      </c>
      <c r="L14" s="6">
        <v>0</v>
      </c>
    </row>
    <row r="15" spans="1:12" ht="12.75" customHeight="1">
      <c r="A15" s="2772">
        <v>2</v>
      </c>
      <c r="B15" s="2786" t="s">
        <v>139</v>
      </c>
      <c r="C15" s="2777" t="s">
        <v>140</v>
      </c>
      <c r="D15" s="427">
        <v>1150</v>
      </c>
      <c r="E15" s="1885">
        <v>60</v>
      </c>
      <c r="F15" s="745"/>
      <c r="G15" s="437"/>
      <c r="J15" s="6">
        <v>0</v>
      </c>
      <c r="K15" s="6">
        <v>0</v>
      </c>
      <c r="L15" s="6">
        <v>0</v>
      </c>
    </row>
    <row r="16" spans="1:12">
      <c r="A16" s="2772"/>
      <c r="B16" s="2786"/>
      <c r="C16" s="2786"/>
      <c r="D16" s="427">
        <v>750</v>
      </c>
      <c r="E16" s="1885">
        <v>43</v>
      </c>
      <c r="F16" s="745"/>
      <c r="G16" s="437"/>
      <c r="J16" s="6">
        <v>0</v>
      </c>
      <c r="K16" s="6">
        <v>0</v>
      </c>
      <c r="L16" s="6">
        <v>0</v>
      </c>
    </row>
    <row r="17" spans="1:12">
      <c r="A17" s="2772"/>
      <c r="B17" s="2786"/>
      <c r="C17" s="2786"/>
      <c r="D17" s="1886" t="s">
        <v>137</v>
      </c>
      <c r="E17" s="1885">
        <v>28</v>
      </c>
      <c r="F17" s="745"/>
      <c r="G17" s="437"/>
      <c r="J17" s="6">
        <v>0</v>
      </c>
      <c r="K17" s="6">
        <v>0</v>
      </c>
      <c r="L17" s="6">
        <v>0</v>
      </c>
    </row>
    <row r="18" spans="1:12">
      <c r="A18" s="2772"/>
      <c r="B18" s="2786"/>
      <c r="C18" s="2786"/>
      <c r="D18" s="1886">
        <v>330</v>
      </c>
      <c r="E18" s="1885">
        <v>18</v>
      </c>
      <c r="F18" s="745"/>
      <c r="G18" s="437"/>
      <c r="J18" s="6">
        <v>0</v>
      </c>
      <c r="K18" s="6">
        <v>0</v>
      </c>
      <c r="L18" s="6">
        <v>0</v>
      </c>
    </row>
    <row r="19" spans="1:12">
      <c r="A19" s="2772"/>
      <c r="B19" s="2786"/>
      <c r="C19" s="2786"/>
      <c r="D19" s="1886">
        <v>220</v>
      </c>
      <c r="E19" s="1885">
        <v>14</v>
      </c>
      <c r="F19" s="745">
        <v>2</v>
      </c>
      <c r="G19" s="437">
        <v>28</v>
      </c>
      <c r="I19" s="6">
        <v>2</v>
      </c>
      <c r="J19" s="6">
        <v>0</v>
      </c>
      <c r="K19" s="6">
        <v>0</v>
      </c>
      <c r="L19" s="6">
        <v>0</v>
      </c>
    </row>
    <row r="20" spans="1:12">
      <c r="A20" s="2772"/>
      <c r="B20" s="2786"/>
      <c r="C20" s="2786"/>
      <c r="D20" s="1886" t="s">
        <v>138</v>
      </c>
      <c r="E20" s="1885">
        <v>7.8</v>
      </c>
      <c r="F20" s="2408"/>
      <c r="G20" s="2370">
        <v>0</v>
      </c>
      <c r="J20" s="6">
        <v>0</v>
      </c>
      <c r="K20" s="6">
        <v>0</v>
      </c>
      <c r="L20" s="6">
        <v>0</v>
      </c>
    </row>
    <row r="21" spans="1:12">
      <c r="A21" s="2772"/>
      <c r="B21" s="2786"/>
      <c r="C21" s="2786"/>
      <c r="D21" s="1886">
        <v>35</v>
      </c>
      <c r="E21" s="1885">
        <v>2.1</v>
      </c>
      <c r="F21" s="2048"/>
      <c r="G21" s="2370">
        <v>0</v>
      </c>
      <c r="J21" s="6">
        <v>0</v>
      </c>
      <c r="K21" s="6">
        <v>0</v>
      </c>
      <c r="L21" s="6">
        <v>0</v>
      </c>
    </row>
    <row r="22" spans="1:12">
      <c r="A22" s="2772"/>
      <c r="B22" s="2786"/>
      <c r="C22" s="2777"/>
      <c r="D22" s="438" t="s">
        <v>141</v>
      </c>
      <c r="E22" s="439">
        <v>1</v>
      </c>
      <c r="F22" s="2049">
        <v>18</v>
      </c>
      <c r="G22" s="2370">
        <v>18</v>
      </c>
      <c r="I22" s="6">
        <v>22</v>
      </c>
      <c r="J22" s="6">
        <v>0</v>
      </c>
      <c r="K22" s="6">
        <v>-4</v>
      </c>
      <c r="L22" s="6">
        <v>0</v>
      </c>
    </row>
    <row r="23" spans="1:12" ht="12.75" customHeight="1">
      <c r="A23" s="2772">
        <v>3</v>
      </c>
      <c r="B23" s="2786" t="s">
        <v>142</v>
      </c>
      <c r="C23" s="2777" t="s">
        <v>143</v>
      </c>
      <c r="D23" s="427">
        <v>1150</v>
      </c>
      <c r="E23" s="1886">
        <v>180</v>
      </c>
      <c r="F23" s="2048"/>
      <c r="G23" s="2048"/>
      <c r="J23" s="6">
        <v>0</v>
      </c>
      <c r="K23" s="6">
        <v>0</v>
      </c>
      <c r="L23" s="6">
        <v>0</v>
      </c>
    </row>
    <row r="24" spans="1:12">
      <c r="A24" s="2772"/>
      <c r="B24" s="2786"/>
      <c r="C24" s="2786"/>
      <c r="D24" s="427">
        <v>750</v>
      </c>
      <c r="E24" s="1886">
        <v>130</v>
      </c>
      <c r="F24" s="2048"/>
      <c r="G24" s="2048"/>
      <c r="J24" s="6">
        <v>0</v>
      </c>
      <c r="K24" s="6">
        <v>0</v>
      </c>
      <c r="L24" s="6">
        <v>0</v>
      </c>
    </row>
    <row r="25" spans="1:12">
      <c r="A25" s="2772"/>
      <c r="B25" s="2786"/>
      <c r="C25" s="2786"/>
      <c r="D25" s="1886" t="s">
        <v>137</v>
      </c>
      <c r="E25" s="1885">
        <v>88</v>
      </c>
      <c r="F25" s="2048"/>
      <c r="G25" s="2048"/>
      <c r="J25" s="6">
        <v>0</v>
      </c>
      <c r="K25" s="6">
        <v>0</v>
      </c>
      <c r="L25" s="6">
        <v>0</v>
      </c>
    </row>
    <row r="26" spans="1:12">
      <c r="A26" s="2772"/>
      <c r="B26" s="2786"/>
      <c r="C26" s="2786"/>
      <c r="D26" s="1886">
        <v>330</v>
      </c>
      <c r="E26" s="1885">
        <v>66</v>
      </c>
      <c r="F26" s="2048"/>
      <c r="G26" s="2048"/>
      <c r="J26" s="6">
        <v>0</v>
      </c>
      <c r="K26" s="6">
        <v>0</v>
      </c>
      <c r="L26" s="6">
        <v>0</v>
      </c>
    </row>
    <row r="27" spans="1:12">
      <c r="A27" s="2772"/>
      <c r="B27" s="2786"/>
      <c r="C27" s="2786"/>
      <c r="D27" s="1886">
        <v>220</v>
      </c>
      <c r="E27" s="1885">
        <v>43</v>
      </c>
      <c r="F27" s="2048"/>
      <c r="G27" s="2048"/>
      <c r="J27" s="6">
        <v>0</v>
      </c>
      <c r="K27" s="6">
        <v>0</v>
      </c>
      <c r="L27" s="6">
        <v>0</v>
      </c>
    </row>
    <row r="28" spans="1:12">
      <c r="A28" s="2772"/>
      <c r="B28" s="2786"/>
      <c r="C28" s="2786"/>
      <c r="D28" s="1886" t="s">
        <v>138</v>
      </c>
      <c r="E28" s="1885">
        <v>26</v>
      </c>
      <c r="F28" s="2048"/>
      <c r="G28" s="2048"/>
      <c r="J28" s="6">
        <v>0</v>
      </c>
      <c r="K28" s="6">
        <v>0</v>
      </c>
      <c r="L28" s="6">
        <v>0</v>
      </c>
    </row>
    <row r="29" spans="1:12">
      <c r="A29" s="2772"/>
      <c r="B29" s="2786"/>
      <c r="C29" s="2786"/>
      <c r="D29" s="1886">
        <v>35</v>
      </c>
      <c r="E29" s="1885">
        <v>11</v>
      </c>
      <c r="F29" s="2048"/>
      <c r="G29" s="2048"/>
      <c r="J29" s="6">
        <v>0</v>
      </c>
      <c r="K29" s="6">
        <v>0</v>
      </c>
      <c r="L29" s="6">
        <v>0</v>
      </c>
    </row>
    <row r="30" spans="1:12">
      <c r="A30" s="2772"/>
      <c r="B30" s="2786"/>
      <c r="C30" s="2777"/>
      <c r="D30" s="438" t="s">
        <v>141</v>
      </c>
      <c r="E30" s="1885">
        <v>5.5</v>
      </c>
      <c r="F30" s="2048">
        <v>9</v>
      </c>
      <c r="G30" s="2370">
        <v>49.5</v>
      </c>
      <c r="I30" s="6">
        <v>9</v>
      </c>
      <c r="J30" s="6">
        <v>0</v>
      </c>
      <c r="K30" s="6">
        <v>0</v>
      </c>
      <c r="L30" s="6">
        <v>0</v>
      </c>
    </row>
    <row r="31" spans="1:12" ht="12.75" customHeight="1">
      <c r="A31" s="2772">
        <v>4</v>
      </c>
      <c r="B31" s="2777" t="s">
        <v>170</v>
      </c>
      <c r="C31" s="2777" t="s">
        <v>144</v>
      </c>
      <c r="D31" s="1886">
        <v>220</v>
      </c>
      <c r="E31" s="1886">
        <v>23</v>
      </c>
      <c r="F31" s="2048"/>
      <c r="G31" s="2048"/>
      <c r="J31" s="6">
        <v>0</v>
      </c>
      <c r="K31" s="6">
        <v>0</v>
      </c>
      <c r="L31" s="6">
        <v>0</v>
      </c>
    </row>
    <row r="32" spans="1:12">
      <c r="A32" s="2772"/>
      <c r="B32" s="2777"/>
      <c r="C32" s="2777"/>
      <c r="D32" s="1886" t="s">
        <v>138</v>
      </c>
      <c r="E32" s="1886">
        <v>14</v>
      </c>
      <c r="F32" s="2048"/>
      <c r="G32" s="2400">
        <v>0</v>
      </c>
      <c r="J32" s="6">
        <v>0</v>
      </c>
      <c r="K32" s="6">
        <v>0</v>
      </c>
      <c r="L32" s="6">
        <v>0</v>
      </c>
    </row>
    <row r="33" spans="1:12">
      <c r="A33" s="2772"/>
      <c r="B33" s="2777"/>
      <c r="C33" s="2777"/>
      <c r="D33" s="1886">
        <v>35</v>
      </c>
      <c r="E33" s="1886">
        <v>6.4</v>
      </c>
      <c r="F33" s="2048"/>
      <c r="G33" s="2048"/>
      <c r="J33" s="6">
        <v>0</v>
      </c>
      <c r="K33" s="6">
        <v>0</v>
      </c>
      <c r="L33" s="6">
        <v>0</v>
      </c>
    </row>
    <row r="34" spans="1:12">
      <c r="A34" s="2772"/>
      <c r="B34" s="2777"/>
      <c r="C34" s="2777"/>
      <c r="D34" s="438" t="s">
        <v>141</v>
      </c>
      <c r="E34" s="1886">
        <v>3.1</v>
      </c>
      <c r="F34" s="2416">
        <v>50</v>
      </c>
      <c r="G34" s="2370">
        <v>155</v>
      </c>
      <c r="I34" s="6">
        <v>50</v>
      </c>
      <c r="J34" s="6">
        <v>0</v>
      </c>
      <c r="K34" s="6">
        <v>0</v>
      </c>
      <c r="L34" s="6">
        <v>0</v>
      </c>
    </row>
    <row r="35" spans="1:12" ht="12.75" customHeight="1">
      <c r="A35" s="2772">
        <v>5</v>
      </c>
      <c r="B35" s="2777" t="s">
        <v>145</v>
      </c>
      <c r="C35" s="2777" t="s">
        <v>140</v>
      </c>
      <c r="D35" s="1886" t="s">
        <v>137</v>
      </c>
      <c r="E35" s="1885">
        <v>35</v>
      </c>
      <c r="F35" s="2048"/>
      <c r="G35" s="2048"/>
      <c r="I35" s="6">
        <v>0</v>
      </c>
      <c r="J35" s="6">
        <v>0</v>
      </c>
      <c r="K35" s="6">
        <v>0</v>
      </c>
      <c r="L35" s="6">
        <v>0</v>
      </c>
    </row>
    <row r="36" spans="1:12">
      <c r="A36" s="2772"/>
      <c r="B36" s="2777"/>
      <c r="C36" s="2777"/>
      <c r="D36" s="1886">
        <v>330</v>
      </c>
      <c r="E36" s="1886">
        <v>24</v>
      </c>
      <c r="F36" s="2048"/>
      <c r="G36" s="2048"/>
      <c r="I36" s="6">
        <v>0</v>
      </c>
      <c r="J36" s="6">
        <v>0</v>
      </c>
      <c r="K36" s="6">
        <v>0</v>
      </c>
      <c r="L36" s="6">
        <v>0</v>
      </c>
    </row>
    <row r="37" spans="1:12">
      <c r="A37" s="2772"/>
      <c r="B37" s="2777"/>
      <c r="C37" s="2777"/>
      <c r="D37" s="1886">
        <v>220</v>
      </c>
      <c r="E37" s="1886">
        <v>19</v>
      </c>
      <c r="F37" s="2417">
        <v>3</v>
      </c>
      <c r="G37" s="2370">
        <v>57</v>
      </c>
      <c r="H37" s="6" t="s">
        <v>1842</v>
      </c>
      <c r="I37" s="6">
        <v>3</v>
      </c>
      <c r="J37" s="6">
        <v>0</v>
      </c>
      <c r="K37" s="6">
        <v>0</v>
      </c>
      <c r="L37" s="6">
        <v>0</v>
      </c>
    </row>
    <row r="38" spans="1:12">
      <c r="A38" s="2772"/>
      <c r="B38" s="2777"/>
      <c r="C38" s="2777"/>
      <c r="D38" s="1886" t="s">
        <v>138</v>
      </c>
      <c r="E38" s="1886">
        <v>9.5</v>
      </c>
      <c r="F38" s="2408"/>
      <c r="G38" s="2370">
        <v>0</v>
      </c>
      <c r="I38" s="6">
        <v>0</v>
      </c>
      <c r="J38" s="6">
        <v>0</v>
      </c>
      <c r="K38" s="6">
        <v>0</v>
      </c>
      <c r="L38" s="6">
        <v>0</v>
      </c>
    </row>
    <row r="39" spans="1:12">
      <c r="A39" s="2772"/>
      <c r="B39" s="2777"/>
      <c r="C39" s="2777"/>
      <c r="D39" s="1886">
        <v>35</v>
      </c>
      <c r="E39" s="1886">
        <v>4.7</v>
      </c>
      <c r="F39" s="2048"/>
      <c r="G39" s="2370">
        <v>0</v>
      </c>
      <c r="I39" s="6">
        <v>0</v>
      </c>
      <c r="J39" s="6">
        <v>0</v>
      </c>
      <c r="K39" s="6">
        <v>0</v>
      </c>
      <c r="L39" s="6">
        <v>0</v>
      </c>
    </row>
    <row r="40" spans="1:12" ht="26.4">
      <c r="A40" s="1885">
        <v>6</v>
      </c>
      <c r="B40" s="1886" t="s">
        <v>146</v>
      </c>
      <c r="C40" s="1886" t="s">
        <v>144</v>
      </c>
      <c r="D40" s="441" t="s">
        <v>141</v>
      </c>
      <c r="E40" s="1886">
        <v>2.2999999999999998</v>
      </c>
      <c r="F40" s="2418">
        <v>5</v>
      </c>
      <c r="G40" s="2400">
        <v>11.5</v>
      </c>
      <c r="I40" s="6">
        <v>5</v>
      </c>
      <c r="J40" s="6">
        <v>0</v>
      </c>
      <c r="K40" s="6">
        <v>0</v>
      </c>
      <c r="L40" s="2371">
        <v>3</v>
      </c>
    </row>
    <row r="41" spans="1:12" ht="39.6">
      <c r="A41" s="1885">
        <v>7</v>
      </c>
      <c r="B41" s="1886" t="s">
        <v>147</v>
      </c>
      <c r="C41" s="1886" t="s">
        <v>144</v>
      </c>
      <c r="D41" s="441" t="s">
        <v>141</v>
      </c>
      <c r="E41" s="1886">
        <v>26</v>
      </c>
      <c r="F41" s="2048"/>
      <c r="G41" s="2048"/>
      <c r="J41" s="6">
        <v>0</v>
      </c>
      <c r="K41" s="6">
        <v>0</v>
      </c>
      <c r="L41" s="6">
        <v>0</v>
      </c>
    </row>
    <row r="42" spans="1:12" ht="26.4">
      <c r="A42" s="1885">
        <v>8</v>
      </c>
      <c r="B42" s="1886" t="s">
        <v>148</v>
      </c>
      <c r="C42" s="1886" t="s">
        <v>144</v>
      </c>
      <c r="D42" s="441" t="s">
        <v>141</v>
      </c>
      <c r="E42" s="1886">
        <v>48</v>
      </c>
      <c r="F42" s="743"/>
      <c r="G42" s="1886"/>
      <c r="J42" s="6">
        <v>0</v>
      </c>
      <c r="K42" s="6">
        <v>0</v>
      </c>
      <c r="L42" s="6">
        <v>0</v>
      </c>
    </row>
    <row r="43" spans="1:12" ht="12.75" customHeight="1">
      <c r="A43" s="2772">
        <v>9</v>
      </c>
      <c r="B43" s="2777" t="s">
        <v>149</v>
      </c>
      <c r="C43" s="2777" t="s">
        <v>150</v>
      </c>
      <c r="D43" s="1886">
        <v>35</v>
      </c>
      <c r="E43" s="1886">
        <v>2.4</v>
      </c>
      <c r="F43" s="743"/>
      <c r="G43" s="1886"/>
      <c r="J43" s="6">
        <v>0</v>
      </c>
      <c r="K43" s="6">
        <v>0</v>
      </c>
      <c r="L43" s="6">
        <v>0</v>
      </c>
    </row>
    <row r="44" spans="1:12">
      <c r="A44" s="2772"/>
      <c r="B44" s="2777"/>
      <c r="C44" s="2777"/>
      <c r="D44" s="441" t="s">
        <v>141</v>
      </c>
      <c r="E44" s="1886">
        <v>2.4</v>
      </c>
      <c r="F44" s="743"/>
      <c r="G44" s="437">
        <v>0</v>
      </c>
      <c r="J44" s="6">
        <v>0</v>
      </c>
      <c r="K44" s="6">
        <v>0</v>
      </c>
      <c r="L44" s="6">
        <v>0</v>
      </c>
    </row>
    <row r="45" spans="1:12" ht="26.4">
      <c r="A45" s="1885">
        <v>10</v>
      </c>
      <c r="B45" s="1886" t="s">
        <v>151</v>
      </c>
      <c r="C45" s="1886" t="s">
        <v>152</v>
      </c>
      <c r="D45" s="441" t="s">
        <v>141</v>
      </c>
      <c r="E45" s="1886">
        <v>2.5</v>
      </c>
      <c r="F45" s="744"/>
      <c r="G45" s="440">
        <v>0</v>
      </c>
      <c r="J45" s="6">
        <v>0</v>
      </c>
      <c r="K45" s="6">
        <v>0</v>
      </c>
      <c r="L45" s="6">
        <v>0</v>
      </c>
    </row>
    <row r="46" spans="1:12" ht="26.4">
      <c r="A46" s="1885">
        <v>11</v>
      </c>
      <c r="B46" s="1886" t="s">
        <v>153</v>
      </c>
      <c r="C46" s="1886" t="s">
        <v>154</v>
      </c>
      <c r="D46" s="441" t="s">
        <v>141</v>
      </c>
      <c r="E46" s="1886">
        <v>2.2999999999999998</v>
      </c>
      <c r="F46" s="1878">
        <v>2</v>
      </c>
      <c r="G46" s="440">
        <v>4.5999999999999996</v>
      </c>
      <c r="I46" s="6">
        <v>2</v>
      </c>
      <c r="J46" s="6">
        <v>0</v>
      </c>
      <c r="K46" s="6">
        <v>0</v>
      </c>
      <c r="L46" s="2371">
        <v>2</v>
      </c>
    </row>
    <row r="47" spans="1:12" ht="26.4">
      <c r="A47" s="1885">
        <v>12</v>
      </c>
      <c r="B47" s="1886" t="s">
        <v>155</v>
      </c>
      <c r="C47" s="1886" t="s">
        <v>154</v>
      </c>
      <c r="D47" s="441" t="s">
        <v>141</v>
      </c>
      <c r="E47" s="1886">
        <v>3</v>
      </c>
      <c r="F47" s="2419">
        <v>9</v>
      </c>
      <c r="G47" s="2400">
        <v>27</v>
      </c>
      <c r="I47" s="6">
        <v>10</v>
      </c>
      <c r="J47" s="2371">
        <v>2</v>
      </c>
      <c r="K47" s="2371">
        <v>-1</v>
      </c>
      <c r="L47" s="6">
        <v>0</v>
      </c>
    </row>
    <row r="48" spans="1:12" ht="39.6">
      <c r="A48" s="1885">
        <v>13</v>
      </c>
      <c r="B48" s="1886" t="s">
        <v>926</v>
      </c>
      <c r="C48" s="1886" t="s">
        <v>156</v>
      </c>
      <c r="D48" s="1886">
        <v>35</v>
      </c>
      <c r="E48" s="1886">
        <v>3.5</v>
      </c>
      <c r="F48" s="743"/>
      <c r="G48" s="2048"/>
      <c r="J48" s="6">
        <v>560.6</v>
      </c>
    </row>
    <row r="49" spans="1:11">
      <c r="A49" s="2772" t="s">
        <v>157</v>
      </c>
      <c r="B49" s="2777" t="s">
        <v>158</v>
      </c>
      <c r="C49" s="2777"/>
      <c r="D49" s="1886" t="s">
        <v>292</v>
      </c>
      <c r="E49" s="437">
        <v>0</v>
      </c>
      <c r="F49" s="437">
        <v>0</v>
      </c>
      <c r="G49" s="2370">
        <v>295</v>
      </c>
    </row>
    <row r="50" spans="1:11">
      <c r="A50" s="2772"/>
      <c r="B50" s="2777"/>
      <c r="C50" s="2777"/>
      <c r="D50" s="1886" t="s">
        <v>85</v>
      </c>
      <c r="E50" s="437">
        <v>0</v>
      </c>
      <c r="F50" s="437">
        <v>0</v>
      </c>
      <c r="G50" s="2370">
        <v>265.60000000000002</v>
      </c>
    </row>
    <row r="51" spans="1:11">
      <c r="A51" s="2772"/>
      <c r="B51" s="2777"/>
      <c r="C51" s="2777"/>
      <c r="D51" s="1886" t="s">
        <v>280</v>
      </c>
      <c r="E51" s="437">
        <v>0</v>
      </c>
      <c r="F51" s="437">
        <v>0</v>
      </c>
      <c r="G51" s="442">
        <v>0</v>
      </c>
      <c r="J51" s="78">
        <v>560.6</v>
      </c>
      <c r="K51" s="418">
        <v>503.6</v>
      </c>
    </row>
    <row r="52" spans="1:11">
      <c r="A52" s="25"/>
      <c r="B52" s="26"/>
      <c r="C52" s="26"/>
      <c r="D52" s="26"/>
      <c r="E52" s="25"/>
      <c r="F52" s="25"/>
      <c r="G52" s="26"/>
    </row>
    <row r="53" spans="1:11">
      <c r="A53" s="6" t="s">
        <v>266</v>
      </c>
    </row>
    <row r="54" spans="1:11" ht="21.75" customHeight="1">
      <c r="A54" s="2784" t="s">
        <v>609</v>
      </c>
      <c r="B54" s="2784"/>
      <c r="C54" s="2784"/>
      <c r="D54" s="2784"/>
      <c r="E54" s="2784"/>
      <c r="F54" s="2784"/>
      <c r="G54" s="2784"/>
    </row>
    <row r="55" spans="1:11" ht="39.75" customHeight="1">
      <c r="A55" s="2784" t="s">
        <v>610</v>
      </c>
      <c r="B55" s="2784"/>
      <c r="C55" s="2784"/>
      <c r="D55" s="2784"/>
      <c r="E55" s="2784"/>
      <c r="F55" s="2784"/>
      <c r="G55" s="2784"/>
    </row>
    <row r="56" spans="1:11" ht="31.5" customHeight="1">
      <c r="A56" s="2785" t="s">
        <v>611</v>
      </c>
      <c r="B56" s="2785"/>
      <c r="C56" s="2785"/>
      <c r="D56" s="2785"/>
      <c r="E56" s="2785"/>
      <c r="F56" s="2785"/>
      <c r="G56" s="2785"/>
    </row>
    <row r="57" spans="1:11" ht="41.25" customHeight="1">
      <c r="A57" s="2784" t="s">
        <v>612</v>
      </c>
      <c r="B57" s="2784"/>
      <c r="C57" s="2784"/>
      <c r="D57" s="2784"/>
      <c r="E57" s="2784"/>
      <c r="F57" s="2784"/>
      <c r="G57" s="2784"/>
    </row>
    <row r="58" spans="1:11" ht="46.5" customHeight="1">
      <c r="A58" s="2784" t="s">
        <v>613</v>
      </c>
      <c r="B58" s="2784"/>
      <c r="C58" s="2784"/>
      <c r="D58" s="2784"/>
      <c r="E58" s="2784"/>
      <c r="F58" s="2784"/>
      <c r="G58" s="2784"/>
    </row>
    <row r="59" spans="1:11" ht="45.75" customHeight="1">
      <c r="A59" s="2784" t="s">
        <v>614</v>
      </c>
      <c r="B59" s="2784"/>
      <c r="C59" s="2784"/>
      <c r="D59" s="2784"/>
      <c r="E59" s="2784"/>
      <c r="F59" s="2784"/>
      <c r="G59" s="2784"/>
    </row>
    <row r="60" spans="1:11" ht="27.75" customHeight="1">
      <c r="A60" s="2784" t="s">
        <v>615</v>
      </c>
      <c r="B60" s="2784"/>
      <c r="C60" s="2784"/>
      <c r="D60" s="2784"/>
      <c r="E60" s="2784"/>
      <c r="F60" s="2784"/>
      <c r="G60" s="2784"/>
    </row>
    <row r="61" spans="1:11" ht="28.5" customHeight="1">
      <c r="A61" s="2784" t="s">
        <v>616</v>
      </c>
      <c r="B61" s="2784"/>
      <c r="C61" s="2784"/>
      <c r="D61" s="2784"/>
      <c r="E61" s="2784"/>
      <c r="F61" s="2784"/>
      <c r="G61" s="2784"/>
    </row>
    <row r="62" spans="1:11" ht="33.75" customHeight="1">
      <c r="A62" s="2784" t="s">
        <v>617</v>
      </c>
      <c r="B62" s="2784"/>
      <c r="C62" s="2784"/>
      <c r="D62" s="2784"/>
      <c r="E62" s="2784"/>
      <c r="F62" s="2784"/>
      <c r="G62" s="2784"/>
    </row>
    <row r="63" spans="1:11" s="669" customFormat="1" ht="23.25" customHeight="1">
      <c r="A63" s="731" t="s">
        <v>731</v>
      </c>
      <c r="B63" s="667"/>
      <c r="C63" s="668"/>
      <c r="H63" s="1875"/>
    </row>
    <row r="64" spans="1:11" s="669" customFormat="1" ht="15" customHeight="1">
      <c r="A64" s="731" t="s">
        <v>761</v>
      </c>
      <c r="B64" s="671"/>
      <c r="C64" s="668"/>
      <c r="G64" s="672" t="s">
        <v>1923</v>
      </c>
    </row>
    <row r="65" spans="1:7" s="28" customFormat="1"/>
    <row r="66" spans="1:7" s="28" customFormat="1">
      <c r="A66" s="51"/>
    </row>
    <row r="67" spans="1:7" s="28" customFormat="1">
      <c r="A67" s="51"/>
    </row>
    <row r="68" spans="1:7" ht="58.5" customHeight="1">
      <c r="A68" s="2784"/>
      <c r="B68" s="2784"/>
      <c r="C68" s="2784"/>
      <c r="D68" s="2784"/>
      <c r="E68" s="2784"/>
      <c r="F68" s="2784"/>
      <c r="G68" s="2784"/>
    </row>
    <row r="69" spans="1:7" ht="53.25" customHeight="1">
      <c r="A69" s="2784"/>
      <c r="B69" s="2784"/>
      <c r="C69" s="2784"/>
      <c r="D69" s="2784"/>
      <c r="E69" s="2784"/>
      <c r="F69" s="2784"/>
      <c r="G69" s="2784"/>
    </row>
    <row r="70" spans="1:7" ht="31.5" customHeight="1">
      <c r="A70" s="2784"/>
      <c r="B70" s="2784"/>
      <c r="C70" s="2784"/>
      <c r="D70" s="2784"/>
      <c r="E70" s="2784"/>
      <c r="F70" s="2784"/>
      <c r="G70" s="2784"/>
    </row>
    <row r="71" spans="1:7" ht="27.75" customHeight="1">
      <c r="A71" s="2783"/>
      <c r="B71" s="2783"/>
      <c r="C71" s="2783"/>
      <c r="D71" s="2783"/>
      <c r="E71" s="2783"/>
      <c r="F71" s="2783"/>
      <c r="G71" s="2783"/>
    </row>
  </sheetData>
  <mergeCells count="37">
    <mergeCell ref="D5:D6"/>
    <mergeCell ref="A15:A22"/>
    <mergeCell ref="B15:B22"/>
    <mergeCell ref="C15:C22"/>
    <mergeCell ref="A8:A14"/>
    <mergeCell ref="B8:B14"/>
    <mergeCell ref="C8:C14"/>
    <mergeCell ref="A5:A6"/>
    <mergeCell ref="B5:B6"/>
    <mergeCell ref="C5:C6"/>
    <mergeCell ref="A23:A30"/>
    <mergeCell ref="B23:B30"/>
    <mergeCell ref="C23:C30"/>
    <mergeCell ref="A58:G58"/>
    <mergeCell ref="A59:G59"/>
    <mergeCell ref="A31:A34"/>
    <mergeCell ref="B31:B34"/>
    <mergeCell ref="C31:C34"/>
    <mergeCell ref="A35:A39"/>
    <mergeCell ref="B35:B39"/>
    <mergeCell ref="C35:C39"/>
    <mergeCell ref="A43:A44"/>
    <mergeCell ref="B43:B44"/>
    <mergeCell ref="C43:C44"/>
    <mergeCell ref="A71:G71"/>
    <mergeCell ref="A68:G68"/>
    <mergeCell ref="A69:G69"/>
    <mergeCell ref="A49:A51"/>
    <mergeCell ref="B49:C51"/>
    <mergeCell ref="A70:G70"/>
    <mergeCell ref="A54:G54"/>
    <mergeCell ref="A60:G60"/>
    <mergeCell ref="A61:G61"/>
    <mergeCell ref="A62:G62"/>
    <mergeCell ref="A55:G55"/>
    <mergeCell ref="A56:G56"/>
    <mergeCell ref="A57:G57"/>
  </mergeCells>
  <phoneticPr fontId="0" type="noConversion"/>
  <printOptions horizontalCentered="1"/>
  <pageMargins left="0.78740157480314965" right="0.78740157480314965" top="0.59055118110236227" bottom="0.11811023622047245" header="0.51181102362204722" footer="3.937007874015748E-2"/>
  <pageSetup paperSize="9" scale="8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 enableFormatConditionsCalculation="0">
    <tabColor rgb="FFFF0000"/>
  </sheetPr>
  <dimension ref="A1:L35"/>
  <sheetViews>
    <sheetView topLeftCell="A13" zoomScaleNormal="100" workbookViewId="0">
      <selection activeCell="G34" sqref="G34"/>
    </sheetView>
  </sheetViews>
  <sheetFormatPr defaultColWidth="9.109375" defaultRowHeight="13.2"/>
  <cols>
    <col min="1" max="1" width="5.5546875" style="1816" customWidth="1"/>
    <col min="2" max="2" width="28" style="1816" customWidth="1"/>
    <col min="3" max="3" width="9.5546875" style="1816" bestFit="1" customWidth="1"/>
    <col min="4" max="4" width="10.88671875" style="1816" bestFit="1" customWidth="1"/>
    <col min="5" max="5" width="9.109375" style="1816"/>
    <col min="6" max="6" width="10" style="1816" bestFit="1" customWidth="1"/>
    <col min="7" max="7" width="10.33203125" style="1816" bestFit="1" customWidth="1"/>
    <col min="8" max="8" width="10" style="1816" bestFit="1" customWidth="1"/>
    <col min="9" max="9" width="10.88671875" style="1816" bestFit="1" customWidth="1"/>
    <col min="10" max="10" width="9.109375" style="1816"/>
    <col min="11" max="11" width="10.88671875" style="1816" bestFit="1" customWidth="1"/>
    <col min="12" max="12" width="10.33203125" style="1816" bestFit="1" customWidth="1"/>
    <col min="13" max="16384" width="9.109375" style="1816"/>
  </cols>
  <sheetData>
    <row r="1" spans="1:12">
      <c r="L1" s="1926" t="s">
        <v>197</v>
      </c>
    </row>
    <row r="2" spans="1:12" ht="15.6">
      <c r="A2" s="1814" t="s">
        <v>174</v>
      </c>
      <c r="B2" s="1814"/>
      <c r="C2" s="1814"/>
      <c r="D2" s="1814"/>
      <c r="E2" s="1814"/>
      <c r="F2" s="1814"/>
      <c r="G2" s="1814"/>
      <c r="H2" s="1814"/>
      <c r="I2" s="1814"/>
      <c r="J2" s="1814"/>
      <c r="K2" s="1927"/>
      <c r="L2" s="1927"/>
    </row>
    <row r="3" spans="1:12" ht="15.6">
      <c r="A3" s="1814" t="s">
        <v>1824</v>
      </c>
      <c r="B3" s="1814"/>
      <c r="C3" s="1814"/>
      <c r="D3" s="1814"/>
      <c r="E3" s="1814"/>
      <c r="F3" s="1814"/>
      <c r="G3" s="1814"/>
      <c r="H3" s="1814"/>
      <c r="I3" s="1814"/>
      <c r="J3" s="1814"/>
      <c r="K3" s="1927"/>
      <c r="L3" s="1927"/>
    </row>
    <row r="4" spans="1:12">
      <c r="A4" s="1928"/>
      <c r="B4" s="2685" t="s">
        <v>848</v>
      </c>
      <c r="C4" s="1928"/>
      <c r="D4" s="1928"/>
      <c r="E4" s="1928"/>
      <c r="F4" s="1928"/>
      <c r="G4" s="1928"/>
      <c r="H4" s="1928"/>
      <c r="I4" s="1928"/>
      <c r="J4" s="1928"/>
      <c r="K4" s="1929"/>
      <c r="L4" s="1930" t="s">
        <v>282</v>
      </c>
    </row>
    <row r="5" spans="1:12" s="2700" customFormat="1" ht="16.5" customHeight="1">
      <c r="A5" s="1931" t="s">
        <v>273</v>
      </c>
      <c r="B5" s="1931" t="s">
        <v>165</v>
      </c>
      <c r="C5" s="2788" t="s">
        <v>175</v>
      </c>
      <c r="D5" s="2789"/>
      <c r="E5" s="2789"/>
      <c r="F5" s="2789"/>
      <c r="G5" s="2790"/>
      <c r="H5" s="2788" t="s">
        <v>283</v>
      </c>
      <c r="I5" s="2789"/>
      <c r="J5" s="2789"/>
      <c r="K5" s="2789"/>
      <c r="L5" s="2790"/>
    </row>
    <row r="6" spans="1:12" s="2700" customFormat="1" ht="17.25" customHeight="1">
      <c r="A6" s="1931"/>
      <c r="B6" s="1931"/>
      <c r="C6" s="1931" t="s">
        <v>279</v>
      </c>
      <c r="D6" s="1931" t="s">
        <v>275</v>
      </c>
      <c r="E6" s="1931" t="s">
        <v>276</v>
      </c>
      <c r="F6" s="1931" t="s">
        <v>277</v>
      </c>
      <c r="G6" s="1931" t="s">
        <v>278</v>
      </c>
      <c r="H6" s="1931" t="s">
        <v>279</v>
      </c>
      <c r="I6" s="1931" t="s">
        <v>275</v>
      </c>
      <c r="J6" s="1931" t="s">
        <v>276</v>
      </c>
      <c r="K6" s="1931" t="s">
        <v>277</v>
      </c>
      <c r="L6" s="1931" t="s">
        <v>278</v>
      </c>
    </row>
    <row r="7" spans="1:12" s="2701" customFormat="1" ht="12">
      <c r="A7" s="1932">
        <v>1</v>
      </c>
      <c r="B7" s="1932">
        <v>2</v>
      </c>
      <c r="C7" s="1932">
        <v>3</v>
      </c>
      <c r="D7" s="1932">
        <v>4</v>
      </c>
      <c r="E7" s="1932">
        <v>5</v>
      </c>
      <c r="F7" s="1932">
        <v>6</v>
      </c>
      <c r="G7" s="1932">
        <v>7</v>
      </c>
      <c r="H7" s="1932">
        <v>8</v>
      </c>
      <c r="I7" s="1932">
        <v>9</v>
      </c>
      <c r="J7" s="1932">
        <v>10</v>
      </c>
      <c r="K7" s="1932">
        <v>11</v>
      </c>
      <c r="L7" s="1932">
        <v>12</v>
      </c>
    </row>
    <row r="8" spans="1:12" ht="26.4">
      <c r="A8" s="2686" t="s">
        <v>284</v>
      </c>
      <c r="B8" s="2702" t="s">
        <v>176</v>
      </c>
      <c r="C8" s="1934">
        <v>20.726211000000003</v>
      </c>
      <c r="D8" s="1934">
        <v>20.146104000000001</v>
      </c>
      <c r="E8" s="1933">
        <v>0.453907</v>
      </c>
      <c r="F8" s="1934">
        <v>7.4558034300000013</v>
      </c>
      <c r="G8" s="1934">
        <v>0.46224737000000093</v>
      </c>
      <c r="H8" s="1934">
        <v>22.851354319999999</v>
      </c>
      <c r="I8" s="1934">
        <v>22.24234032</v>
      </c>
      <c r="J8" s="1933">
        <v>0.47675400000000001</v>
      </c>
      <c r="K8" s="1934">
        <v>12.409626319999999</v>
      </c>
      <c r="L8" s="1934">
        <v>0.52352131999999862</v>
      </c>
    </row>
    <row r="9" spans="1:12">
      <c r="A9" s="2686" t="s">
        <v>177</v>
      </c>
      <c r="B9" s="2686" t="s">
        <v>178</v>
      </c>
      <c r="C9" s="1935"/>
      <c r="D9" s="1938">
        <v>0</v>
      </c>
      <c r="E9" s="1933">
        <v>0</v>
      </c>
      <c r="F9" s="1934">
        <v>7.3296034300000015</v>
      </c>
      <c r="G9" s="1934">
        <v>0.46224737000000093</v>
      </c>
      <c r="H9" s="1934"/>
      <c r="I9" s="1935"/>
      <c r="J9" s="1933">
        <v>0</v>
      </c>
      <c r="K9" s="1934">
        <v>12.277366319999999</v>
      </c>
      <c r="L9" s="1934">
        <v>0.52352131999999862</v>
      </c>
    </row>
    <row r="10" spans="1:12">
      <c r="A10" s="2686"/>
      <c r="B10" s="2686" t="s">
        <v>179</v>
      </c>
      <c r="C10" s="1935"/>
      <c r="D10" s="1935"/>
      <c r="E10" s="1935"/>
      <c r="F10" s="1934"/>
      <c r="G10" s="1935"/>
      <c r="H10" s="1934"/>
      <c r="I10" s="1935"/>
      <c r="J10" s="1933"/>
      <c r="K10" s="1935"/>
      <c r="L10" s="1935"/>
    </row>
    <row r="11" spans="1:12">
      <c r="A11" s="2686"/>
      <c r="B11" s="2686" t="s">
        <v>180</v>
      </c>
      <c r="C11" s="1934">
        <v>6.8756964300000014</v>
      </c>
      <c r="D11" s="1936"/>
      <c r="E11" s="1933">
        <v>0</v>
      </c>
      <c r="F11" s="1934">
        <v>6.8756964300000014</v>
      </c>
      <c r="G11" s="1935"/>
      <c r="H11" s="1934">
        <v>11.800612319999999</v>
      </c>
      <c r="I11" s="1936"/>
      <c r="J11" s="1933">
        <v>0</v>
      </c>
      <c r="K11" s="1934">
        <v>11.800612319999999</v>
      </c>
      <c r="L11" s="1935"/>
    </row>
    <row r="12" spans="1:12">
      <c r="A12" s="2686"/>
      <c r="B12" s="2686" t="s">
        <v>181</v>
      </c>
      <c r="C12" s="1933">
        <v>0.453907</v>
      </c>
      <c r="D12" s="1935"/>
      <c r="E12" s="1935"/>
      <c r="F12" s="1933">
        <v>0.453907</v>
      </c>
      <c r="G12" s="1935"/>
      <c r="H12" s="1933">
        <v>0.47675400000000001</v>
      </c>
      <c r="I12" s="1935"/>
      <c r="J12" s="1935"/>
      <c r="K12" s="1933">
        <v>0.47675400000000001</v>
      </c>
      <c r="L12" s="1935"/>
    </row>
    <row r="13" spans="1:12">
      <c r="A13" s="2686"/>
      <c r="B13" s="2686" t="s">
        <v>182</v>
      </c>
      <c r="C13" s="1934">
        <v>0.46224737000000093</v>
      </c>
      <c r="D13" s="1935"/>
      <c r="E13" s="1935"/>
      <c r="F13" s="1935"/>
      <c r="G13" s="1934">
        <v>0.46224737000000093</v>
      </c>
      <c r="H13" s="1935">
        <v>0.52352131999999862</v>
      </c>
      <c r="I13" s="1935"/>
      <c r="J13" s="1935"/>
      <c r="K13" s="1935"/>
      <c r="L13" s="1934">
        <v>0.52352131999999862</v>
      </c>
    </row>
    <row r="14" spans="1:12">
      <c r="A14" s="2686" t="s">
        <v>183</v>
      </c>
      <c r="B14" s="2694" t="s">
        <v>1908</v>
      </c>
      <c r="C14" s="1934">
        <v>20.146104000000001</v>
      </c>
      <c r="D14" s="1934">
        <v>20.146104000000001</v>
      </c>
      <c r="E14" s="1934"/>
      <c r="F14" s="1935"/>
      <c r="G14" s="1935"/>
      <c r="H14" s="1934">
        <v>22.24234032</v>
      </c>
      <c r="I14" s="1934">
        <v>22.24234032</v>
      </c>
      <c r="J14" s="1935"/>
      <c r="K14" s="1935"/>
      <c r="L14" s="1935"/>
    </row>
    <row r="15" spans="1:12">
      <c r="A15" s="2686" t="s">
        <v>184</v>
      </c>
      <c r="B15" s="2702" t="s">
        <v>1909</v>
      </c>
      <c r="C15" s="1933">
        <v>0.453907</v>
      </c>
      <c r="D15" s="1935"/>
      <c r="E15" s="1933">
        <v>0.453907</v>
      </c>
      <c r="F15" s="1935"/>
      <c r="G15" s="1934"/>
      <c r="H15" s="1933">
        <v>0.47675400000000001</v>
      </c>
      <c r="I15" s="1935"/>
      <c r="J15" s="1934">
        <v>0.47675400000000001</v>
      </c>
      <c r="K15" s="1935"/>
      <c r="L15" s="1934"/>
    </row>
    <row r="16" spans="1:12">
      <c r="A16" s="2686" t="s">
        <v>214</v>
      </c>
      <c r="B16" s="2702" t="s">
        <v>1867</v>
      </c>
      <c r="C16" s="1933">
        <v>6.8599999999999994E-2</v>
      </c>
      <c r="D16" s="1935"/>
      <c r="E16" s="1933"/>
      <c r="F16" s="1935">
        <v>6.8599999999999994E-2</v>
      </c>
      <c r="G16" s="1934"/>
      <c r="H16" s="1933">
        <v>7.5459999999999999E-2</v>
      </c>
      <c r="I16" s="1935"/>
      <c r="J16" s="1934"/>
      <c r="K16" s="1935">
        <v>7.5459999999999999E-2</v>
      </c>
      <c r="L16" s="1934"/>
    </row>
    <row r="17" spans="1:12">
      <c r="A17" s="2686" t="s">
        <v>1497</v>
      </c>
      <c r="B17" s="2702" t="s">
        <v>1706</v>
      </c>
      <c r="C17" s="1933">
        <v>5.7599999999999998E-2</v>
      </c>
      <c r="D17" s="1935"/>
      <c r="E17" s="1933"/>
      <c r="F17" s="1933">
        <v>5.7599999999999998E-2</v>
      </c>
      <c r="G17" s="1934"/>
      <c r="H17" s="1933">
        <v>5.6799999999999996E-2</v>
      </c>
      <c r="I17" s="1935"/>
      <c r="J17" s="1934"/>
      <c r="K17" s="1934">
        <v>5.6799999999999996E-2</v>
      </c>
      <c r="L17" s="1934"/>
    </row>
    <row r="18" spans="1:12" ht="26.4">
      <c r="A18" s="2686" t="s">
        <v>226</v>
      </c>
      <c r="B18" s="2702" t="s">
        <v>185</v>
      </c>
      <c r="C18" s="1938">
        <v>0</v>
      </c>
      <c r="D18" s="1935"/>
      <c r="E18" s="1935"/>
      <c r="F18" s="1935"/>
      <c r="G18" s="1935"/>
      <c r="H18" s="1938">
        <v>0</v>
      </c>
      <c r="I18" s="1935"/>
      <c r="J18" s="1935"/>
      <c r="K18" s="1935"/>
      <c r="L18" s="1935"/>
    </row>
    <row r="19" spans="1:12">
      <c r="A19" s="2686" t="s">
        <v>285</v>
      </c>
      <c r="B19" s="2686" t="s">
        <v>186</v>
      </c>
      <c r="C19" s="1934">
        <v>1.4508347700000002</v>
      </c>
      <c r="D19" s="1933">
        <v>0.50034334000000003</v>
      </c>
      <c r="E19" s="1933">
        <v>0</v>
      </c>
      <c r="F19" s="1933">
        <v>0.91924406000000003</v>
      </c>
      <c r="G19" s="1933">
        <v>3.124737E-2</v>
      </c>
      <c r="H19" s="1934">
        <v>1.4179909999999998</v>
      </c>
      <c r="I19" s="1933">
        <v>0.65037899999999993</v>
      </c>
      <c r="J19" s="1933">
        <v>0</v>
      </c>
      <c r="K19" s="1933">
        <v>0.73337300000000005</v>
      </c>
      <c r="L19" s="1933">
        <v>3.4239000000000006E-2</v>
      </c>
    </row>
    <row r="20" spans="1:12">
      <c r="A20" s="2688"/>
      <c r="B20" s="2688" t="s">
        <v>250</v>
      </c>
      <c r="C20" s="1939">
        <v>6.9999999999999991</v>
      </c>
      <c r="D20" s="1937">
        <v>2.4835736974255664</v>
      </c>
      <c r="E20" s="1938">
        <v>0</v>
      </c>
      <c r="F20" s="1939">
        <v>12.329242161900718</v>
      </c>
      <c r="G20" s="1939">
        <v>6.7598805375571818</v>
      </c>
      <c r="H20" s="1939">
        <v>6.2052821033847589</v>
      </c>
      <c r="I20" s="1937">
        <v>2.9240583079074116</v>
      </c>
      <c r="J20" s="1938">
        <v>0</v>
      </c>
      <c r="K20" s="1939">
        <v>5.9097105834529273</v>
      </c>
      <c r="L20" s="1939">
        <v>6.5401347933643077</v>
      </c>
    </row>
    <row r="21" spans="1:12" ht="26.4">
      <c r="A21" s="2688" t="s">
        <v>286</v>
      </c>
      <c r="B21" s="2703" t="s">
        <v>187</v>
      </c>
      <c r="C21" s="2704">
        <v>9.4368957093138306E-16</v>
      </c>
      <c r="D21" s="1940"/>
      <c r="E21" s="1940"/>
      <c r="F21" s="1940"/>
      <c r="G21" s="2704">
        <v>9.4368957093138306E-16</v>
      </c>
      <c r="H21" s="2704">
        <v>-1.4432899320127035E-15</v>
      </c>
      <c r="I21" s="1940"/>
      <c r="J21" s="1941"/>
      <c r="K21" s="1941"/>
      <c r="L21" s="2704">
        <v>-1.4432899320127035E-15</v>
      </c>
    </row>
    <row r="22" spans="1:12">
      <c r="A22" s="2687"/>
      <c r="B22" s="2691" t="s">
        <v>188</v>
      </c>
      <c r="C22" s="1943"/>
      <c r="D22" s="2705"/>
      <c r="E22" s="2705"/>
      <c r="F22" s="1943"/>
      <c r="G22" s="1943"/>
      <c r="H22" s="1943"/>
      <c r="I22" s="1942"/>
      <c r="J22" s="1943"/>
      <c r="K22" s="1943"/>
      <c r="L22" s="1943"/>
    </row>
    <row r="23" spans="1:12">
      <c r="A23" s="2686" t="s">
        <v>287</v>
      </c>
      <c r="B23" s="2686" t="s">
        <v>189</v>
      </c>
      <c r="C23" s="1933">
        <v>19.275376229999999</v>
      </c>
      <c r="D23" s="1933">
        <v>12.770064229999999</v>
      </c>
      <c r="E23" s="1933">
        <v>0</v>
      </c>
      <c r="F23" s="1944">
        <v>6.0743119999999999</v>
      </c>
      <c r="G23" s="1944">
        <v>0.43099999999999999</v>
      </c>
      <c r="H23" s="1944">
        <v>21.433363320000002</v>
      </c>
      <c r="I23" s="1944">
        <v>9.7913490000000003</v>
      </c>
      <c r="J23" s="1944">
        <v>0</v>
      </c>
      <c r="K23" s="1944">
        <v>11.152732</v>
      </c>
      <c r="L23" s="1944">
        <v>0.48928232000000005</v>
      </c>
    </row>
    <row r="24" spans="1:12" ht="26.4">
      <c r="A24" s="2688" t="s">
        <v>288</v>
      </c>
      <c r="B24" s="2706" t="s">
        <v>195</v>
      </c>
      <c r="C24" s="1933">
        <v>0</v>
      </c>
      <c r="D24" s="1943"/>
      <c r="E24" s="2707"/>
      <c r="F24" s="1940">
        <v>0</v>
      </c>
      <c r="G24" s="1944">
        <v>0</v>
      </c>
      <c r="H24" s="1944">
        <v>0</v>
      </c>
      <c r="I24" s="1940"/>
      <c r="J24" s="1940"/>
      <c r="K24" s="1940">
        <v>0</v>
      </c>
      <c r="L24" s="1940"/>
    </row>
    <row r="25" spans="1:12" ht="39.6">
      <c r="A25" s="2686"/>
      <c r="B25" s="2708" t="s">
        <v>196</v>
      </c>
      <c r="C25" s="1941"/>
      <c r="D25" s="1935"/>
      <c r="E25" s="1935"/>
      <c r="F25" s="1935"/>
      <c r="G25" s="1935"/>
      <c r="H25" s="1935"/>
      <c r="I25" s="1935"/>
      <c r="J25" s="1935"/>
      <c r="K25" s="1935"/>
      <c r="L25" s="1935"/>
    </row>
    <row r="26" spans="1:12">
      <c r="A26" s="2689" t="s">
        <v>289</v>
      </c>
      <c r="B26" s="2689" t="s">
        <v>190</v>
      </c>
      <c r="C26" s="1941"/>
      <c r="D26" s="2709"/>
      <c r="E26" s="1945"/>
      <c r="F26" s="1941"/>
      <c r="G26" s="1945"/>
      <c r="H26" s="1941"/>
      <c r="I26" s="1945"/>
      <c r="J26" s="1941"/>
      <c r="K26" s="1945"/>
      <c r="L26" s="1941"/>
    </row>
    <row r="27" spans="1:12">
      <c r="A27" s="2691"/>
      <c r="B27" s="2691" t="s">
        <v>191</v>
      </c>
      <c r="C27" s="1943"/>
      <c r="D27" s="1942"/>
      <c r="E27" s="1946"/>
      <c r="F27" s="1943"/>
      <c r="G27" s="1946"/>
      <c r="H27" s="2707"/>
      <c r="I27" s="1946"/>
      <c r="J27" s="1943"/>
      <c r="K27" s="1946"/>
      <c r="L27" s="1943"/>
    </row>
    <row r="28" spans="1:12">
      <c r="A28" s="2689" t="s">
        <v>192</v>
      </c>
      <c r="B28" s="2689" t="s">
        <v>193</v>
      </c>
      <c r="C28" s="1944">
        <v>19.275376229999999</v>
      </c>
      <c r="D28" s="1944">
        <v>12.770064229999999</v>
      </c>
      <c r="E28" s="1944">
        <v>0</v>
      </c>
      <c r="F28" s="1944">
        <v>6.0743119999999999</v>
      </c>
      <c r="G28" s="1944">
        <v>0.43099999999999999</v>
      </c>
      <c r="H28" s="1944">
        <v>21.433363320000002</v>
      </c>
      <c r="I28" s="1944">
        <v>9.7913490000000003</v>
      </c>
      <c r="J28" s="1944">
        <v>0</v>
      </c>
      <c r="K28" s="2710">
        <v>11.152732</v>
      </c>
      <c r="L28" s="2711">
        <v>0.48928232000000005</v>
      </c>
    </row>
    <row r="29" spans="1:12">
      <c r="A29" s="2691"/>
      <c r="B29" s="2691" t="s">
        <v>194</v>
      </c>
      <c r="C29" s="1943"/>
      <c r="D29" s="1942"/>
      <c r="E29" s="1946"/>
      <c r="F29" s="1943"/>
      <c r="G29" s="1946"/>
      <c r="H29" s="1943"/>
      <c r="I29" s="1946"/>
      <c r="J29" s="1943"/>
      <c r="K29" s="1946"/>
      <c r="L29" s="1943"/>
    </row>
    <row r="31" spans="1:12" s="1947" customFormat="1" ht="22.8" customHeight="1">
      <c r="A31" s="2695"/>
      <c r="B31" s="2695"/>
      <c r="C31" s="2696"/>
      <c r="H31" s="2697"/>
    </row>
    <row r="32" spans="1:12" s="1947" customFormat="1" ht="15" customHeight="1">
      <c r="A32" s="2695"/>
      <c r="B32" s="2698"/>
      <c r="C32" s="2712"/>
      <c r="E32" s="2699"/>
      <c r="F32" s="2699"/>
      <c r="H32" s="2699"/>
    </row>
    <row r="33" spans="1:8" s="1813" customFormat="1" ht="15.6">
      <c r="A33" s="2713"/>
      <c r="B33" s="2713"/>
      <c r="H33" s="2714"/>
    </row>
    <row r="34" spans="1:8">
      <c r="A34" s="2715"/>
    </row>
    <row r="35" spans="1:8">
      <c r="A35" s="2715"/>
    </row>
  </sheetData>
  <mergeCells count="2">
    <mergeCell ref="C5:G5"/>
    <mergeCell ref="H5:L5"/>
  </mergeCells>
  <phoneticPr fontId="0" type="noConversion"/>
  <printOptions horizontalCentered="1"/>
  <pageMargins left="0.78740157480314965" right="0.78740157480314965" top="0.78740157480314965" bottom="0.11811023622047245" header="0.51181102362204722" footer="3.937007874015748E-2"/>
  <pageSetup paperSize="9" scale="97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 enableFormatConditionsCalculation="0">
    <tabColor rgb="FFCCFF33"/>
  </sheetPr>
  <dimension ref="A1:L34"/>
  <sheetViews>
    <sheetView tabSelected="1" topLeftCell="A4" zoomScaleNormal="100" workbookViewId="0">
      <selection activeCell="I13" sqref="I13"/>
    </sheetView>
  </sheetViews>
  <sheetFormatPr defaultColWidth="9.109375" defaultRowHeight="13.2"/>
  <cols>
    <col min="1" max="1" width="6.109375" style="1816" customWidth="1"/>
    <col min="2" max="2" width="34.109375" style="1816" customWidth="1"/>
    <col min="3" max="3" width="10.109375" style="1816" customWidth="1"/>
    <col min="4" max="4" width="9.109375" style="1816"/>
    <col min="5" max="5" width="9.5546875" style="1816" bestFit="1" customWidth="1"/>
    <col min="6" max="6" width="9.109375" style="1816"/>
    <col min="7" max="7" width="10.44140625" style="1816" customWidth="1"/>
    <col min="8" max="8" width="9.5546875" style="1816" customWidth="1"/>
    <col min="9" max="9" width="9.88671875" style="1816" customWidth="1"/>
    <col min="10" max="11" width="9.109375" style="1816"/>
    <col min="12" max="12" width="10" style="1816" bestFit="1" customWidth="1"/>
    <col min="13" max="16384" width="9.109375" style="1816"/>
  </cols>
  <sheetData>
    <row r="1" spans="1:12">
      <c r="L1" s="1926" t="s">
        <v>198</v>
      </c>
    </row>
    <row r="2" spans="1:12" ht="15.6">
      <c r="A2" s="2599" t="s">
        <v>213</v>
      </c>
      <c r="B2" s="2716"/>
      <c r="C2" s="2717"/>
      <c r="D2" s="2717"/>
      <c r="E2" s="2717"/>
      <c r="F2" s="2717"/>
      <c r="G2" s="2717"/>
      <c r="H2" s="2717"/>
      <c r="I2" s="2717"/>
      <c r="J2" s="2717"/>
      <c r="K2" s="1927"/>
      <c r="L2" s="1927"/>
    </row>
    <row r="3" spans="1:12" ht="15.6">
      <c r="A3" s="1814" t="s">
        <v>1824</v>
      </c>
      <c r="B3" s="2716"/>
      <c r="C3" s="2717"/>
      <c r="D3" s="2717"/>
      <c r="E3" s="2717"/>
      <c r="F3" s="2717"/>
      <c r="G3" s="2717"/>
      <c r="H3" s="2717"/>
      <c r="I3" s="2717"/>
      <c r="J3" s="2717"/>
      <c r="K3" s="1927"/>
      <c r="L3" s="1927"/>
    </row>
    <row r="4" spans="1:12">
      <c r="A4" s="2718"/>
      <c r="B4" s="2685" t="s">
        <v>848</v>
      </c>
      <c r="C4" s="2718"/>
      <c r="D4" s="2718"/>
      <c r="E4" s="2718"/>
      <c r="F4" s="2718"/>
      <c r="G4" s="2718"/>
      <c r="H4" s="1928"/>
      <c r="I4" s="1928"/>
      <c r="J4" s="1928"/>
      <c r="K4" s="1929"/>
      <c r="L4" s="2719" t="s">
        <v>199</v>
      </c>
    </row>
    <row r="5" spans="1:12" s="2700" customFormat="1" ht="18" customHeight="1">
      <c r="A5" s="2720" t="s">
        <v>290</v>
      </c>
      <c r="B5" s="1931" t="s">
        <v>291</v>
      </c>
      <c r="C5" s="2791" t="s">
        <v>166</v>
      </c>
      <c r="D5" s="2792"/>
      <c r="E5" s="2792"/>
      <c r="F5" s="2792"/>
      <c r="G5" s="2793"/>
      <c r="H5" s="2788" t="s">
        <v>274</v>
      </c>
      <c r="I5" s="2789"/>
      <c r="J5" s="2789"/>
      <c r="K5" s="2789"/>
      <c r="L5" s="2790"/>
    </row>
    <row r="6" spans="1:12" s="2700" customFormat="1" ht="16.5" customHeight="1">
      <c r="A6" s="1931"/>
      <c r="B6" s="1931"/>
      <c r="C6" s="1931" t="s">
        <v>279</v>
      </c>
      <c r="D6" s="1931" t="s">
        <v>292</v>
      </c>
      <c r="E6" s="1931" t="s">
        <v>276</v>
      </c>
      <c r="F6" s="1931" t="s">
        <v>277</v>
      </c>
      <c r="G6" s="1931" t="s">
        <v>280</v>
      </c>
      <c r="H6" s="1931" t="s">
        <v>279</v>
      </c>
      <c r="I6" s="1931" t="s">
        <v>292</v>
      </c>
      <c r="J6" s="1931" t="s">
        <v>276</v>
      </c>
      <c r="K6" s="1931" t="s">
        <v>277</v>
      </c>
      <c r="L6" s="1931" t="s">
        <v>280</v>
      </c>
    </row>
    <row r="7" spans="1:12" s="2723" customFormat="1" ht="10.199999999999999">
      <c r="A7" s="2721">
        <v>1</v>
      </c>
      <c r="B7" s="2722">
        <v>2</v>
      </c>
      <c r="C7" s="2721">
        <v>3</v>
      </c>
      <c r="D7" s="2721">
        <v>4</v>
      </c>
      <c r="E7" s="2721">
        <v>5</v>
      </c>
      <c r="F7" s="2721">
        <v>6</v>
      </c>
      <c r="G7" s="2721">
        <v>7</v>
      </c>
      <c r="H7" s="2721">
        <v>8</v>
      </c>
      <c r="I7" s="2721">
        <v>9</v>
      </c>
      <c r="J7" s="2721">
        <v>10</v>
      </c>
      <c r="K7" s="2721">
        <v>11</v>
      </c>
      <c r="L7" s="2721">
        <v>12</v>
      </c>
    </row>
    <row r="8" spans="1:12">
      <c r="A8" s="2686" t="s">
        <v>284</v>
      </c>
      <c r="B8" s="2724" t="s">
        <v>200</v>
      </c>
      <c r="C8" s="2725">
        <v>2.8220999999999998</v>
      </c>
      <c r="D8" s="2725">
        <v>2.7555000000000001</v>
      </c>
      <c r="E8" s="2725">
        <v>5.1999999999999998E-2</v>
      </c>
      <c r="F8" s="2725">
        <v>0.96125000000000005</v>
      </c>
      <c r="G8" s="2725">
        <v>6.0570000000000124E-2</v>
      </c>
      <c r="H8" s="2725">
        <v>3.0495850007458043</v>
      </c>
      <c r="I8" s="2725">
        <v>2.980603334079138</v>
      </c>
      <c r="J8" s="2725">
        <v>5.4515000000000001E-2</v>
      </c>
      <c r="K8" s="2726">
        <v>1.6970127674964601</v>
      </c>
      <c r="L8" s="2725">
        <v>7.7639242831050614E-2</v>
      </c>
    </row>
    <row r="9" spans="1:12">
      <c r="A9" s="2686" t="s">
        <v>293</v>
      </c>
      <c r="B9" s="2686" t="s">
        <v>201</v>
      </c>
      <c r="C9" s="2726"/>
      <c r="D9" s="2726"/>
      <c r="E9" s="2727">
        <v>0</v>
      </c>
      <c r="F9" s="2725">
        <v>0.94664999999999999</v>
      </c>
      <c r="G9" s="2725">
        <v>6.0570000000000124E-2</v>
      </c>
      <c r="H9" s="2728"/>
      <c r="I9" s="2726"/>
      <c r="J9" s="2727">
        <v>0</v>
      </c>
      <c r="K9" s="2726">
        <v>1.6825461008297935</v>
      </c>
      <c r="L9" s="2725">
        <v>7.7639242831050614E-2</v>
      </c>
    </row>
    <row r="10" spans="1:12">
      <c r="A10" s="2686"/>
      <c r="B10" s="2686" t="s">
        <v>216</v>
      </c>
      <c r="C10" s="2726"/>
      <c r="D10" s="2726"/>
      <c r="E10" s="2727">
        <v>0</v>
      </c>
      <c r="F10" s="2725">
        <v>0.89464999999999995</v>
      </c>
      <c r="G10" s="2725"/>
      <c r="H10" s="2728"/>
      <c r="I10" s="2726"/>
      <c r="J10" s="2727">
        <v>0</v>
      </c>
      <c r="K10" s="2726">
        <v>1.6280311008297934</v>
      </c>
      <c r="L10" s="2726"/>
    </row>
    <row r="11" spans="1:12">
      <c r="A11" s="2686"/>
      <c r="B11" s="2694" t="s">
        <v>217</v>
      </c>
      <c r="C11" s="2728">
        <v>5.1999999999999998E-2</v>
      </c>
      <c r="D11" s="2726"/>
      <c r="E11" s="2727"/>
      <c r="F11" s="2725">
        <v>5.1999999999999998E-2</v>
      </c>
      <c r="G11" s="2725"/>
      <c r="H11" s="2728">
        <v>5.4515000000000001E-2</v>
      </c>
      <c r="I11" s="2726"/>
      <c r="J11" s="2727"/>
      <c r="K11" s="2725">
        <v>5.4515000000000001E-2</v>
      </c>
      <c r="L11" s="2726"/>
    </row>
    <row r="12" spans="1:12">
      <c r="A12" s="2686"/>
      <c r="B12" s="2694" t="s">
        <v>218</v>
      </c>
      <c r="C12" s="2729">
        <v>6.0570000000000124E-2</v>
      </c>
      <c r="D12" s="2726"/>
      <c r="E12" s="2730"/>
      <c r="F12" s="2725"/>
      <c r="G12" s="2725">
        <v>6.0570000000000124E-2</v>
      </c>
      <c r="H12" s="2728">
        <v>7.7639242831050614E-2</v>
      </c>
      <c r="I12" s="2726"/>
      <c r="J12" s="2730"/>
      <c r="K12" s="2726"/>
      <c r="L12" s="2725">
        <v>7.7639242831050614E-2</v>
      </c>
    </row>
    <row r="13" spans="1:12">
      <c r="A13" s="2686" t="s">
        <v>294</v>
      </c>
      <c r="B13" s="2694" t="s">
        <v>1908</v>
      </c>
      <c r="C13" s="2728">
        <v>2.7555000000000001</v>
      </c>
      <c r="D13" s="2731">
        <v>2.7555000000000001</v>
      </c>
      <c r="E13" s="2728"/>
      <c r="F13" s="2726"/>
      <c r="G13" s="2726"/>
      <c r="H13" s="2728">
        <v>2.980603334079138</v>
      </c>
      <c r="I13" s="3075">
        <v>2.980603334079138</v>
      </c>
      <c r="J13" s="2725"/>
      <c r="K13" s="2730"/>
      <c r="L13" s="2730"/>
    </row>
    <row r="14" spans="1:12">
      <c r="A14" s="2694" t="s">
        <v>86</v>
      </c>
      <c r="B14" s="2702" t="s">
        <v>1909</v>
      </c>
      <c r="C14" s="2729">
        <v>5.1999999999999998E-2</v>
      </c>
      <c r="D14" s="2728"/>
      <c r="E14" s="2728">
        <v>5.1999999999999998E-2</v>
      </c>
      <c r="F14" s="2726"/>
      <c r="G14" s="2726"/>
      <c r="H14" s="2728">
        <v>5.4515000000000001E-2</v>
      </c>
      <c r="I14" s="2725"/>
      <c r="J14" s="2725">
        <v>5.4515000000000001E-2</v>
      </c>
      <c r="K14" s="1935"/>
      <c r="L14" s="1935"/>
    </row>
    <row r="15" spans="1:12">
      <c r="A15" s="2732" t="s">
        <v>214</v>
      </c>
      <c r="B15" s="2702" t="s">
        <v>1867</v>
      </c>
      <c r="C15" s="2729">
        <v>5.0000000000000001E-3</v>
      </c>
      <c r="D15" s="1935"/>
      <c r="E15" s="2726"/>
      <c r="F15" s="2725">
        <v>5.0000000000000001E-3</v>
      </c>
      <c r="G15" s="2726"/>
      <c r="H15" s="2729">
        <v>5.0000000000000001E-3</v>
      </c>
      <c r="I15" s="1934"/>
      <c r="J15" s="1934"/>
      <c r="K15" s="2725">
        <v>5.0000000000000001E-3</v>
      </c>
      <c r="L15" s="1935"/>
    </row>
    <row r="16" spans="1:12">
      <c r="A16" s="2732" t="s">
        <v>1497</v>
      </c>
      <c r="B16" s="2702" t="s">
        <v>1706</v>
      </c>
      <c r="C16" s="2729">
        <v>9.5999999999999992E-3</v>
      </c>
      <c r="D16" s="1935"/>
      <c r="E16" s="2726"/>
      <c r="F16" s="2725">
        <v>9.5999999999999992E-3</v>
      </c>
      <c r="G16" s="2726"/>
      <c r="H16" s="2729">
        <v>9.4666666666666666E-3</v>
      </c>
      <c r="I16" s="1934"/>
      <c r="J16" s="1934"/>
      <c r="K16" s="2725">
        <v>9.4666666666666666E-3</v>
      </c>
      <c r="L16" s="1935"/>
    </row>
    <row r="17" spans="1:12">
      <c r="A17" s="2732" t="s">
        <v>226</v>
      </c>
      <c r="B17" s="2686" t="s">
        <v>202</v>
      </c>
      <c r="C17" s="1935"/>
      <c r="D17" s="1935"/>
      <c r="E17" s="1935"/>
      <c r="F17" s="2726"/>
      <c r="G17" s="2726"/>
      <c r="H17" s="2726"/>
      <c r="I17" s="1935"/>
      <c r="J17" s="1935"/>
      <c r="K17" s="1935"/>
      <c r="L17" s="1935"/>
    </row>
    <row r="18" spans="1:12" ht="12.75" customHeight="1">
      <c r="A18" s="2686" t="s">
        <v>295</v>
      </c>
      <c r="B18" s="2702" t="s">
        <v>203</v>
      </c>
      <c r="C18" s="2725">
        <v>0.19755</v>
      </c>
      <c r="D18" s="2725">
        <v>6.8129999999999996E-2</v>
      </c>
      <c r="E18" s="1937">
        <v>0</v>
      </c>
      <c r="F18" s="2725">
        <v>0.125165</v>
      </c>
      <c r="G18" s="2725">
        <v>4.2550000000000001E-3</v>
      </c>
      <c r="H18" s="2725">
        <v>0.18925</v>
      </c>
      <c r="I18" s="2725">
        <v>8.4250000000000005E-2</v>
      </c>
      <c r="J18" s="1937">
        <v>0</v>
      </c>
      <c r="K18" s="2733">
        <v>9.9919999999999995E-2</v>
      </c>
      <c r="L18" s="2733">
        <v>5.0800000000000003E-3</v>
      </c>
    </row>
    <row r="19" spans="1:12">
      <c r="A19" s="2688"/>
      <c r="B19" s="2734" t="s">
        <v>204</v>
      </c>
      <c r="C19" s="1939">
        <v>7.0001063038163069</v>
      </c>
      <c r="D19" s="1939">
        <v>2.4825095264017416</v>
      </c>
      <c r="E19" s="1937">
        <v>0</v>
      </c>
      <c r="F19" s="1939">
        <v>12.331066319895969</v>
      </c>
      <c r="G19" s="1939">
        <v>6.7649298332507701</v>
      </c>
      <c r="H19" s="1939">
        <v>6.2057624218940335</v>
      </c>
      <c r="I19" s="1937">
        <v>2.9166089296994353</v>
      </c>
      <c r="J19" s="1937">
        <v>0</v>
      </c>
      <c r="K19" s="1939">
        <v>5.9079934148879882</v>
      </c>
      <c r="L19" s="1939">
        <v>6.5430828724779024</v>
      </c>
    </row>
    <row r="20" spans="1:12" ht="15" customHeight="1">
      <c r="A20" s="2688" t="s">
        <v>296</v>
      </c>
      <c r="B20" s="2735" t="s">
        <v>205</v>
      </c>
      <c r="C20" s="1940">
        <v>0</v>
      </c>
      <c r="D20" s="2736"/>
      <c r="E20" s="2737"/>
      <c r="F20" s="1945"/>
      <c r="G20" s="1940"/>
      <c r="H20" s="1940">
        <v>0</v>
      </c>
      <c r="I20" s="2736"/>
      <c r="J20" s="2737"/>
      <c r="K20" s="1945"/>
      <c r="L20" s="1940">
        <v>0</v>
      </c>
    </row>
    <row r="21" spans="1:12" ht="13.5" customHeight="1">
      <c r="A21" s="2692"/>
      <c r="B21" s="2738" t="s">
        <v>206</v>
      </c>
      <c r="C21" s="1943"/>
      <c r="D21" s="2739"/>
      <c r="E21" s="2740"/>
      <c r="F21" s="2741"/>
      <c r="G21" s="1943"/>
      <c r="H21" s="1943"/>
      <c r="I21" s="2739"/>
      <c r="J21" s="2740"/>
      <c r="K21" s="2741"/>
      <c r="L21" s="1943"/>
    </row>
    <row r="22" spans="1:12">
      <c r="A22" s="2688" t="s">
        <v>297</v>
      </c>
      <c r="B22" s="2690" t="s">
        <v>207</v>
      </c>
      <c r="C22" s="2742">
        <v>2.6245500000000002</v>
      </c>
      <c r="D22" s="2743">
        <v>1.7927200000000001</v>
      </c>
      <c r="E22" s="1940">
        <v>0</v>
      </c>
      <c r="F22" s="2744">
        <v>0.77551499999999995</v>
      </c>
      <c r="G22" s="2745">
        <v>5.6314999999999997E-2</v>
      </c>
      <c r="H22" s="2742">
        <v>2.8603350007458044</v>
      </c>
      <c r="I22" s="2743">
        <v>1.2683222332493447</v>
      </c>
      <c r="J22" s="2746">
        <v>0</v>
      </c>
      <c r="K22" s="2744">
        <v>1.5194535246654095</v>
      </c>
      <c r="L22" s="2744">
        <v>7.2559242831050239E-2</v>
      </c>
    </row>
    <row r="23" spans="1:12">
      <c r="A23" s="2692"/>
      <c r="B23" s="2738" t="s">
        <v>208</v>
      </c>
      <c r="C23" s="1943"/>
      <c r="D23" s="2705"/>
      <c r="E23" s="2705"/>
      <c r="F23" s="1943"/>
      <c r="G23" s="2747"/>
      <c r="H23" s="1943"/>
      <c r="I23" s="2705"/>
      <c r="J23" s="2705"/>
      <c r="K23" s="1943"/>
      <c r="L23" s="2748"/>
    </row>
    <row r="24" spans="1:12" ht="52.8">
      <c r="A24" s="2749" t="s">
        <v>298</v>
      </c>
      <c r="B24" s="2702" t="s">
        <v>215</v>
      </c>
      <c r="C24" s="1938">
        <v>0</v>
      </c>
      <c r="D24" s="1938">
        <v>0</v>
      </c>
      <c r="E24" s="1938">
        <v>0</v>
      </c>
      <c r="F24" s="1938">
        <v>0</v>
      </c>
      <c r="G24" s="1938">
        <v>0</v>
      </c>
      <c r="H24" s="1938">
        <v>0</v>
      </c>
      <c r="I24" s="1938">
        <v>0</v>
      </c>
      <c r="J24" s="1938">
        <v>0</v>
      </c>
      <c r="K24" s="1938">
        <v>0</v>
      </c>
      <c r="L24" s="1938">
        <v>0</v>
      </c>
    </row>
    <row r="25" spans="1:12">
      <c r="A25" s="2689" t="s">
        <v>299</v>
      </c>
      <c r="B25" s="2688" t="s">
        <v>209</v>
      </c>
      <c r="C25" s="1945"/>
      <c r="D25" s="1941"/>
      <c r="E25" s="1945"/>
      <c r="F25" s="1941"/>
      <c r="G25" s="1941"/>
      <c r="H25" s="1945"/>
      <c r="I25" s="1941"/>
      <c r="J25" s="1945"/>
      <c r="K25" s="2750"/>
      <c r="L25" s="1941"/>
    </row>
    <row r="26" spans="1:12">
      <c r="A26" s="2693"/>
      <c r="B26" s="2692" t="s">
        <v>210</v>
      </c>
      <c r="C26" s="2741"/>
      <c r="D26" s="2707"/>
      <c r="E26" s="2741"/>
      <c r="F26" s="2707"/>
      <c r="G26" s="2707"/>
      <c r="H26" s="2741"/>
      <c r="I26" s="2707"/>
      <c r="J26" s="2741"/>
      <c r="K26" s="2751"/>
      <c r="L26" s="2707"/>
    </row>
    <row r="27" spans="1:12">
      <c r="A27" s="2691"/>
      <c r="B27" s="2687" t="s">
        <v>211</v>
      </c>
      <c r="C27" s="1946"/>
      <c r="D27" s="1943"/>
      <c r="E27" s="1946"/>
      <c r="F27" s="1943"/>
      <c r="G27" s="1943"/>
      <c r="H27" s="1946"/>
      <c r="I27" s="1943"/>
      <c r="J27" s="1946"/>
      <c r="K27" s="2752"/>
      <c r="L27" s="1943"/>
    </row>
    <row r="28" spans="1:12">
      <c r="A28" s="2686" t="s">
        <v>300</v>
      </c>
      <c r="B28" s="2686" t="s">
        <v>212</v>
      </c>
      <c r="C28" s="2729">
        <v>2.6245500000000002</v>
      </c>
      <c r="D28" s="2729">
        <v>1.7927200000000001</v>
      </c>
      <c r="E28" s="2727">
        <v>0</v>
      </c>
      <c r="F28" s="2729">
        <v>0.77551499999999995</v>
      </c>
      <c r="G28" s="2729">
        <v>5.6314999999999997E-2</v>
      </c>
      <c r="H28" s="2729">
        <v>2.8603350007458044</v>
      </c>
      <c r="I28" s="2729">
        <v>1.2683222332493447</v>
      </c>
      <c r="J28" s="2727">
        <v>0</v>
      </c>
      <c r="K28" s="2729">
        <v>1.5194535246654095</v>
      </c>
      <c r="L28" s="2729">
        <v>7.2559242831050239E-2</v>
      </c>
    </row>
    <row r="29" spans="1:12" ht="36.6" customHeight="1">
      <c r="A29" s="1929"/>
      <c r="B29" s="1929"/>
      <c r="C29" s="1929"/>
      <c r="D29" s="1929"/>
      <c r="E29" s="1929"/>
      <c r="F29" s="1929"/>
      <c r="G29" s="1929"/>
      <c r="H29" s="1929"/>
      <c r="I29" s="1929"/>
      <c r="J29" s="1929"/>
      <c r="K29" s="1929"/>
      <c r="L29" s="1929"/>
    </row>
    <row r="30" spans="1:12" s="1947" customFormat="1" ht="22.8" customHeight="1">
      <c r="A30" s="2695"/>
      <c r="B30" s="2695"/>
      <c r="C30" s="2696"/>
      <c r="H30" s="2000"/>
    </row>
    <row r="31" spans="1:12" s="1947" customFormat="1" ht="15" customHeight="1">
      <c r="A31" s="2695"/>
      <c r="B31" s="2698"/>
      <c r="C31" s="2696"/>
      <c r="E31" s="2699"/>
      <c r="F31" s="2699"/>
      <c r="H31" s="2699"/>
    </row>
    <row r="32" spans="1:12" s="1813" customFormat="1" ht="15.6">
      <c r="A32" s="2713"/>
      <c r="B32" s="2713"/>
      <c r="C32" s="1816"/>
      <c r="D32" s="2753"/>
      <c r="E32" s="1816"/>
      <c r="F32" s="1816"/>
      <c r="G32" s="1816"/>
      <c r="H32" s="2754"/>
      <c r="I32" s="1816"/>
      <c r="J32" s="1816"/>
      <c r="K32" s="1816"/>
      <c r="L32" s="1816"/>
    </row>
    <row r="33" spans="1:1">
      <c r="A33" s="2715"/>
    </row>
    <row r="34" spans="1:1">
      <c r="A34" s="2715"/>
    </row>
  </sheetData>
  <mergeCells count="2">
    <mergeCell ref="C5:G5"/>
    <mergeCell ref="H5:L5"/>
  </mergeCells>
  <phoneticPr fontId="0" type="noConversion"/>
  <printOptions horizontalCentered="1"/>
  <pageMargins left="0.74803149606299213" right="0.74803149606299213" top="0.98425196850393704" bottom="0.11811023622047245" header="0.51181102362204722" footer="3.937007874015748E-2"/>
  <pageSetup paperSize="9" scale="9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9" tint="0.39997558519241921"/>
  </sheetPr>
  <dimension ref="A1:IV285"/>
  <sheetViews>
    <sheetView zoomScaleNormal="100" workbookViewId="0">
      <selection activeCell="C28" sqref="C28:C30"/>
    </sheetView>
  </sheetViews>
  <sheetFormatPr defaultRowHeight="13.2"/>
  <cols>
    <col min="1" max="1" width="7.88671875" style="2303" customWidth="1"/>
    <col min="2" max="2" width="36.44140625" style="2303" customWidth="1"/>
    <col min="3" max="3" width="9.88671875" style="2303" customWidth="1"/>
    <col min="4" max="4" width="10.33203125" style="2315" customWidth="1"/>
    <col min="5" max="5" width="10" style="2303" customWidth="1"/>
    <col min="6" max="6" width="9.88671875" style="2315" customWidth="1"/>
    <col min="7" max="7" width="9.5546875" style="2303" customWidth="1"/>
    <col min="8" max="8" width="10" style="2315" customWidth="1"/>
    <col min="9" max="9" width="9.33203125" style="2297" hidden="1" customWidth="1"/>
    <col min="10" max="10" width="9.6640625" style="2297" hidden="1" customWidth="1"/>
    <col min="11" max="11" width="11.5546875" style="2303" hidden="1" customWidth="1"/>
    <col min="12" max="12" width="13.6640625" style="2333" hidden="1" customWidth="1"/>
    <col min="13" max="13" width="9.88671875" style="2303" hidden="1" customWidth="1"/>
    <col min="14" max="14" width="11.109375" style="2303" hidden="1" customWidth="1"/>
    <col min="15" max="15" width="9.109375" style="2303" hidden="1" customWidth="1"/>
    <col min="16" max="16" width="10.5546875" style="2303" hidden="1" customWidth="1"/>
    <col min="17" max="18" width="9.109375" style="2303" hidden="1" customWidth="1"/>
    <col min="19" max="19" width="11.33203125" style="2303" hidden="1" customWidth="1"/>
    <col min="20" max="20" width="9.109375" style="2303" hidden="1" customWidth="1"/>
    <col min="21" max="22" width="10.33203125" style="2303" hidden="1" customWidth="1"/>
    <col min="23" max="23" width="10.109375" style="2303" hidden="1" customWidth="1"/>
    <col min="24" max="41" width="9.109375" style="2303" hidden="1" customWidth="1"/>
    <col min="42" max="44" width="9.109375" style="2303" customWidth="1"/>
    <col min="45" max="46" width="9.109375" style="2303" hidden="1" customWidth="1"/>
    <col min="47" max="51" width="0" style="2303" hidden="1" customWidth="1"/>
    <col min="52" max="256" width="9.109375" style="2303"/>
    <col min="257" max="257" width="7.88671875" style="2303" customWidth="1"/>
    <col min="258" max="258" width="36.44140625" style="2303" customWidth="1"/>
    <col min="259" max="259" width="9.88671875" style="2303" customWidth="1"/>
    <col min="260" max="260" width="10.33203125" style="2303" customWidth="1"/>
    <col min="261" max="261" width="10" style="2303" customWidth="1"/>
    <col min="262" max="262" width="9.88671875" style="2303" customWidth="1"/>
    <col min="263" max="263" width="9.5546875" style="2303" customWidth="1"/>
    <col min="264" max="264" width="10" style="2303" customWidth="1"/>
    <col min="265" max="297" width="0" style="2303" hidden="1" customWidth="1"/>
    <col min="298" max="300" width="9.109375" style="2303" customWidth="1"/>
    <col min="301" max="307" width="0" style="2303" hidden="1" customWidth="1"/>
    <col min="308" max="512" width="9.109375" style="2303"/>
    <col min="513" max="513" width="7.88671875" style="2303" customWidth="1"/>
    <col min="514" max="514" width="36.44140625" style="2303" customWidth="1"/>
    <col min="515" max="515" width="9.88671875" style="2303" customWidth="1"/>
    <col min="516" max="516" width="10.33203125" style="2303" customWidth="1"/>
    <col min="517" max="517" width="10" style="2303" customWidth="1"/>
    <col min="518" max="518" width="9.88671875" style="2303" customWidth="1"/>
    <col min="519" max="519" width="9.5546875" style="2303" customWidth="1"/>
    <col min="520" max="520" width="10" style="2303" customWidth="1"/>
    <col min="521" max="553" width="0" style="2303" hidden="1" customWidth="1"/>
    <col min="554" max="556" width="9.109375" style="2303" customWidth="1"/>
    <col min="557" max="563" width="0" style="2303" hidden="1" customWidth="1"/>
    <col min="564" max="768" width="9.109375" style="2303"/>
    <col min="769" max="769" width="7.88671875" style="2303" customWidth="1"/>
    <col min="770" max="770" width="36.44140625" style="2303" customWidth="1"/>
    <col min="771" max="771" width="9.88671875" style="2303" customWidth="1"/>
    <col min="772" max="772" width="10.33203125" style="2303" customWidth="1"/>
    <col min="773" max="773" width="10" style="2303" customWidth="1"/>
    <col min="774" max="774" width="9.88671875" style="2303" customWidth="1"/>
    <col min="775" max="775" width="9.5546875" style="2303" customWidth="1"/>
    <col min="776" max="776" width="10" style="2303" customWidth="1"/>
    <col min="777" max="809" width="0" style="2303" hidden="1" customWidth="1"/>
    <col min="810" max="812" width="9.109375" style="2303" customWidth="1"/>
    <col min="813" max="819" width="0" style="2303" hidden="1" customWidth="1"/>
    <col min="820" max="1024" width="9.109375" style="2303"/>
    <col min="1025" max="1025" width="7.88671875" style="2303" customWidth="1"/>
    <col min="1026" max="1026" width="36.44140625" style="2303" customWidth="1"/>
    <col min="1027" max="1027" width="9.88671875" style="2303" customWidth="1"/>
    <col min="1028" max="1028" width="10.33203125" style="2303" customWidth="1"/>
    <col min="1029" max="1029" width="10" style="2303" customWidth="1"/>
    <col min="1030" max="1030" width="9.88671875" style="2303" customWidth="1"/>
    <col min="1031" max="1031" width="9.5546875" style="2303" customWidth="1"/>
    <col min="1032" max="1032" width="10" style="2303" customWidth="1"/>
    <col min="1033" max="1065" width="0" style="2303" hidden="1" customWidth="1"/>
    <col min="1066" max="1068" width="9.109375" style="2303" customWidth="1"/>
    <col min="1069" max="1075" width="0" style="2303" hidden="1" customWidth="1"/>
    <col min="1076" max="1280" width="9.109375" style="2303"/>
    <col min="1281" max="1281" width="7.88671875" style="2303" customWidth="1"/>
    <col min="1282" max="1282" width="36.44140625" style="2303" customWidth="1"/>
    <col min="1283" max="1283" width="9.88671875" style="2303" customWidth="1"/>
    <col min="1284" max="1284" width="10.33203125" style="2303" customWidth="1"/>
    <col min="1285" max="1285" width="10" style="2303" customWidth="1"/>
    <col min="1286" max="1286" width="9.88671875" style="2303" customWidth="1"/>
    <col min="1287" max="1287" width="9.5546875" style="2303" customWidth="1"/>
    <col min="1288" max="1288" width="10" style="2303" customWidth="1"/>
    <col min="1289" max="1321" width="0" style="2303" hidden="1" customWidth="1"/>
    <col min="1322" max="1324" width="9.109375" style="2303" customWidth="1"/>
    <col min="1325" max="1331" width="0" style="2303" hidden="1" customWidth="1"/>
    <col min="1332" max="1536" width="9.109375" style="2303"/>
    <col min="1537" max="1537" width="7.88671875" style="2303" customWidth="1"/>
    <col min="1538" max="1538" width="36.44140625" style="2303" customWidth="1"/>
    <col min="1539" max="1539" width="9.88671875" style="2303" customWidth="1"/>
    <col min="1540" max="1540" width="10.33203125" style="2303" customWidth="1"/>
    <col min="1541" max="1541" width="10" style="2303" customWidth="1"/>
    <col min="1542" max="1542" width="9.88671875" style="2303" customWidth="1"/>
    <col min="1543" max="1543" width="9.5546875" style="2303" customWidth="1"/>
    <col min="1544" max="1544" width="10" style="2303" customWidth="1"/>
    <col min="1545" max="1577" width="0" style="2303" hidden="1" customWidth="1"/>
    <col min="1578" max="1580" width="9.109375" style="2303" customWidth="1"/>
    <col min="1581" max="1587" width="0" style="2303" hidden="1" customWidth="1"/>
    <col min="1588" max="1792" width="9.109375" style="2303"/>
    <col min="1793" max="1793" width="7.88671875" style="2303" customWidth="1"/>
    <col min="1794" max="1794" width="36.44140625" style="2303" customWidth="1"/>
    <col min="1795" max="1795" width="9.88671875" style="2303" customWidth="1"/>
    <col min="1796" max="1796" width="10.33203125" style="2303" customWidth="1"/>
    <col min="1797" max="1797" width="10" style="2303" customWidth="1"/>
    <col min="1798" max="1798" width="9.88671875" style="2303" customWidth="1"/>
    <col min="1799" max="1799" width="9.5546875" style="2303" customWidth="1"/>
    <col min="1800" max="1800" width="10" style="2303" customWidth="1"/>
    <col min="1801" max="1833" width="0" style="2303" hidden="1" customWidth="1"/>
    <col min="1834" max="1836" width="9.109375" style="2303" customWidth="1"/>
    <col min="1837" max="1843" width="0" style="2303" hidden="1" customWidth="1"/>
    <col min="1844" max="2048" width="9.109375" style="2303"/>
    <col min="2049" max="2049" width="7.88671875" style="2303" customWidth="1"/>
    <col min="2050" max="2050" width="36.44140625" style="2303" customWidth="1"/>
    <col min="2051" max="2051" width="9.88671875" style="2303" customWidth="1"/>
    <col min="2052" max="2052" width="10.33203125" style="2303" customWidth="1"/>
    <col min="2053" max="2053" width="10" style="2303" customWidth="1"/>
    <col min="2054" max="2054" width="9.88671875" style="2303" customWidth="1"/>
    <col min="2055" max="2055" width="9.5546875" style="2303" customWidth="1"/>
    <col min="2056" max="2056" width="10" style="2303" customWidth="1"/>
    <col min="2057" max="2089" width="0" style="2303" hidden="1" customWidth="1"/>
    <col min="2090" max="2092" width="9.109375" style="2303" customWidth="1"/>
    <col min="2093" max="2099" width="0" style="2303" hidden="1" customWidth="1"/>
    <col min="2100" max="2304" width="9.109375" style="2303"/>
    <col min="2305" max="2305" width="7.88671875" style="2303" customWidth="1"/>
    <col min="2306" max="2306" width="36.44140625" style="2303" customWidth="1"/>
    <col min="2307" max="2307" width="9.88671875" style="2303" customWidth="1"/>
    <col min="2308" max="2308" width="10.33203125" style="2303" customWidth="1"/>
    <col min="2309" max="2309" width="10" style="2303" customWidth="1"/>
    <col min="2310" max="2310" width="9.88671875" style="2303" customWidth="1"/>
    <col min="2311" max="2311" width="9.5546875" style="2303" customWidth="1"/>
    <col min="2312" max="2312" width="10" style="2303" customWidth="1"/>
    <col min="2313" max="2345" width="0" style="2303" hidden="1" customWidth="1"/>
    <col min="2346" max="2348" width="9.109375" style="2303" customWidth="1"/>
    <col min="2349" max="2355" width="0" style="2303" hidden="1" customWidth="1"/>
    <col min="2356" max="2560" width="9.109375" style="2303"/>
    <col min="2561" max="2561" width="7.88671875" style="2303" customWidth="1"/>
    <col min="2562" max="2562" width="36.44140625" style="2303" customWidth="1"/>
    <col min="2563" max="2563" width="9.88671875" style="2303" customWidth="1"/>
    <col min="2564" max="2564" width="10.33203125" style="2303" customWidth="1"/>
    <col min="2565" max="2565" width="10" style="2303" customWidth="1"/>
    <col min="2566" max="2566" width="9.88671875" style="2303" customWidth="1"/>
    <col min="2567" max="2567" width="9.5546875" style="2303" customWidth="1"/>
    <col min="2568" max="2568" width="10" style="2303" customWidth="1"/>
    <col min="2569" max="2601" width="0" style="2303" hidden="1" customWidth="1"/>
    <col min="2602" max="2604" width="9.109375" style="2303" customWidth="1"/>
    <col min="2605" max="2611" width="0" style="2303" hidden="1" customWidth="1"/>
    <col min="2612" max="2816" width="9.109375" style="2303"/>
    <col min="2817" max="2817" width="7.88671875" style="2303" customWidth="1"/>
    <col min="2818" max="2818" width="36.44140625" style="2303" customWidth="1"/>
    <col min="2819" max="2819" width="9.88671875" style="2303" customWidth="1"/>
    <col min="2820" max="2820" width="10.33203125" style="2303" customWidth="1"/>
    <col min="2821" max="2821" width="10" style="2303" customWidth="1"/>
    <col min="2822" max="2822" width="9.88671875" style="2303" customWidth="1"/>
    <col min="2823" max="2823" width="9.5546875" style="2303" customWidth="1"/>
    <col min="2824" max="2824" width="10" style="2303" customWidth="1"/>
    <col min="2825" max="2857" width="0" style="2303" hidden="1" customWidth="1"/>
    <col min="2858" max="2860" width="9.109375" style="2303" customWidth="1"/>
    <col min="2861" max="2867" width="0" style="2303" hidden="1" customWidth="1"/>
    <col min="2868" max="3072" width="9.109375" style="2303"/>
    <col min="3073" max="3073" width="7.88671875" style="2303" customWidth="1"/>
    <col min="3074" max="3074" width="36.44140625" style="2303" customWidth="1"/>
    <col min="3075" max="3075" width="9.88671875" style="2303" customWidth="1"/>
    <col min="3076" max="3076" width="10.33203125" style="2303" customWidth="1"/>
    <col min="3077" max="3077" width="10" style="2303" customWidth="1"/>
    <col min="3078" max="3078" width="9.88671875" style="2303" customWidth="1"/>
    <col min="3079" max="3079" width="9.5546875" style="2303" customWidth="1"/>
    <col min="3080" max="3080" width="10" style="2303" customWidth="1"/>
    <col min="3081" max="3113" width="0" style="2303" hidden="1" customWidth="1"/>
    <col min="3114" max="3116" width="9.109375" style="2303" customWidth="1"/>
    <col min="3117" max="3123" width="0" style="2303" hidden="1" customWidth="1"/>
    <col min="3124" max="3328" width="9.109375" style="2303"/>
    <col min="3329" max="3329" width="7.88671875" style="2303" customWidth="1"/>
    <col min="3330" max="3330" width="36.44140625" style="2303" customWidth="1"/>
    <col min="3331" max="3331" width="9.88671875" style="2303" customWidth="1"/>
    <col min="3332" max="3332" width="10.33203125" style="2303" customWidth="1"/>
    <col min="3333" max="3333" width="10" style="2303" customWidth="1"/>
    <col min="3334" max="3334" width="9.88671875" style="2303" customWidth="1"/>
    <col min="3335" max="3335" width="9.5546875" style="2303" customWidth="1"/>
    <col min="3336" max="3336" width="10" style="2303" customWidth="1"/>
    <col min="3337" max="3369" width="0" style="2303" hidden="1" customWidth="1"/>
    <col min="3370" max="3372" width="9.109375" style="2303" customWidth="1"/>
    <col min="3373" max="3379" width="0" style="2303" hidden="1" customWidth="1"/>
    <col min="3380" max="3584" width="9.109375" style="2303"/>
    <col min="3585" max="3585" width="7.88671875" style="2303" customWidth="1"/>
    <col min="3586" max="3586" width="36.44140625" style="2303" customWidth="1"/>
    <col min="3587" max="3587" width="9.88671875" style="2303" customWidth="1"/>
    <col min="3588" max="3588" width="10.33203125" style="2303" customWidth="1"/>
    <col min="3589" max="3589" width="10" style="2303" customWidth="1"/>
    <col min="3590" max="3590" width="9.88671875" style="2303" customWidth="1"/>
    <col min="3591" max="3591" width="9.5546875" style="2303" customWidth="1"/>
    <col min="3592" max="3592" width="10" style="2303" customWidth="1"/>
    <col min="3593" max="3625" width="0" style="2303" hidden="1" customWidth="1"/>
    <col min="3626" max="3628" width="9.109375" style="2303" customWidth="1"/>
    <col min="3629" max="3635" width="0" style="2303" hidden="1" customWidth="1"/>
    <col min="3636" max="3840" width="9.109375" style="2303"/>
    <col min="3841" max="3841" width="7.88671875" style="2303" customWidth="1"/>
    <col min="3842" max="3842" width="36.44140625" style="2303" customWidth="1"/>
    <col min="3843" max="3843" width="9.88671875" style="2303" customWidth="1"/>
    <col min="3844" max="3844" width="10.33203125" style="2303" customWidth="1"/>
    <col min="3845" max="3845" width="10" style="2303" customWidth="1"/>
    <col min="3846" max="3846" width="9.88671875" style="2303" customWidth="1"/>
    <col min="3847" max="3847" width="9.5546875" style="2303" customWidth="1"/>
    <col min="3848" max="3848" width="10" style="2303" customWidth="1"/>
    <col min="3849" max="3881" width="0" style="2303" hidden="1" customWidth="1"/>
    <col min="3882" max="3884" width="9.109375" style="2303" customWidth="1"/>
    <col min="3885" max="3891" width="0" style="2303" hidden="1" customWidth="1"/>
    <col min="3892" max="4096" width="9.109375" style="2303"/>
    <col min="4097" max="4097" width="7.88671875" style="2303" customWidth="1"/>
    <col min="4098" max="4098" width="36.44140625" style="2303" customWidth="1"/>
    <col min="4099" max="4099" width="9.88671875" style="2303" customWidth="1"/>
    <col min="4100" max="4100" width="10.33203125" style="2303" customWidth="1"/>
    <col min="4101" max="4101" width="10" style="2303" customWidth="1"/>
    <col min="4102" max="4102" width="9.88671875" style="2303" customWidth="1"/>
    <col min="4103" max="4103" width="9.5546875" style="2303" customWidth="1"/>
    <col min="4104" max="4104" width="10" style="2303" customWidth="1"/>
    <col min="4105" max="4137" width="0" style="2303" hidden="1" customWidth="1"/>
    <col min="4138" max="4140" width="9.109375" style="2303" customWidth="1"/>
    <col min="4141" max="4147" width="0" style="2303" hidden="1" customWidth="1"/>
    <col min="4148" max="4352" width="9.109375" style="2303"/>
    <col min="4353" max="4353" width="7.88671875" style="2303" customWidth="1"/>
    <col min="4354" max="4354" width="36.44140625" style="2303" customWidth="1"/>
    <col min="4355" max="4355" width="9.88671875" style="2303" customWidth="1"/>
    <col min="4356" max="4356" width="10.33203125" style="2303" customWidth="1"/>
    <col min="4357" max="4357" width="10" style="2303" customWidth="1"/>
    <col min="4358" max="4358" width="9.88671875" style="2303" customWidth="1"/>
    <col min="4359" max="4359" width="9.5546875" style="2303" customWidth="1"/>
    <col min="4360" max="4360" width="10" style="2303" customWidth="1"/>
    <col min="4361" max="4393" width="0" style="2303" hidden="1" customWidth="1"/>
    <col min="4394" max="4396" width="9.109375" style="2303" customWidth="1"/>
    <col min="4397" max="4403" width="0" style="2303" hidden="1" customWidth="1"/>
    <col min="4404" max="4608" width="9.109375" style="2303"/>
    <col min="4609" max="4609" width="7.88671875" style="2303" customWidth="1"/>
    <col min="4610" max="4610" width="36.44140625" style="2303" customWidth="1"/>
    <col min="4611" max="4611" width="9.88671875" style="2303" customWidth="1"/>
    <col min="4612" max="4612" width="10.33203125" style="2303" customWidth="1"/>
    <col min="4613" max="4613" width="10" style="2303" customWidth="1"/>
    <col min="4614" max="4614" width="9.88671875" style="2303" customWidth="1"/>
    <col min="4615" max="4615" width="9.5546875" style="2303" customWidth="1"/>
    <col min="4616" max="4616" width="10" style="2303" customWidth="1"/>
    <col min="4617" max="4649" width="0" style="2303" hidden="1" customWidth="1"/>
    <col min="4650" max="4652" width="9.109375" style="2303" customWidth="1"/>
    <col min="4653" max="4659" width="0" style="2303" hidden="1" customWidth="1"/>
    <col min="4660" max="4864" width="9.109375" style="2303"/>
    <col min="4865" max="4865" width="7.88671875" style="2303" customWidth="1"/>
    <col min="4866" max="4866" width="36.44140625" style="2303" customWidth="1"/>
    <col min="4867" max="4867" width="9.88671875" style="2303" customWidth="1"/>
    <col min="4868" max="4868" width="10.33203125" style="2303" customWidth="1"/>
    <col min="4869" max="4869" width="10" style="2303" customWidth="1"/>
    <col min="4870" max="4870" width="9.88671875" style="2303" customWidth="1"/>
    <col min="4871" max="4871" width="9.5546875" style="2303" customWidth="1"/>
    <col min="4872" max="4872" width="10" style="2303" customWidth="1"/>
    <col min="4873" max="4905" width="0" style="2303" hidden="1" customWidth="1"/>
    <col min="4906" max="4908" width="9.109375" style="2303" customWidth="1"/>
    <col min="4909" max="4915" width="0" style="2303" hidden="1" customWidth="1"/>
    <col min="4916" max="5120" width="9.109375" style="2303"/>
    <col min="5121" max="5121" width="7.88671875" style="2303" customWidth="1"/>
    <col min="5122" max="5122" width="36.44140625" style="2303" customWidth="1"/>
    <col min="5123" max="5123" width="9.88671875" style="2303" customWidth="1"/>
    <col min="5124" max="5124" width="10.33203125" style="2303" customWidth="1"/>
    <col min="5125" max="5125" width="10" style="2303" customWidth="1"/>
    <col min="5126" max="5126" width="9.88671875" style="2303" customWidth="1"/>
    <col min="5127" max="5127" width="9.5546875" style="2303" customWidth="1"/>
    <col min="5128" max="5128" width="10" style="2303" customWidth="1"/>
    <col min="5129" max="5161" width="0" style="2303" hidden="1" customWidth="1"/>
    <col min="5162" max="5164" width="9.109375" style="2303" customWidth="1"/>
    <col min="5165" max="5171" width="0" style="2303" hidden="1" customWidth="1"/>
    <col min="5172" max="5376" width="9.109375" style="2303"/>
    <col min="5377" max="5377" width="7.88671875" style="2303" customWidth="1"/>
    <col min="5378" max="5378" width="36.44140625" style="2303" customWidth="1"/>
    <col min="5379" max="5379" width="9.88671875" style="2303" customWidth="1"/>
    <col min="5380" max="5380" width="10.33203125" style="2303" customWidth="1"/>
    <col min="5381" max="5381" width="10" style="2303" customWidth="1"/>
    <col min="5382" max="5382" width="9.88671875" style="2303" customWidth="1"/>
    <col min="5383" max="5383" width="9.5546875" style="2303" customWidth="1"/>
    <col min="5384" max="5384" width="10" style="2303" customWidth="1"/>
    <col min="5385" max="5417" width="0" style="2303" hidden="1" customWidth="1"/>
    <col min="5418" max="5420" width="9.109375" style="2303" customWidth="1"/>
    <col min="5421" max="5427" width="0" style="2303" hidden="1" customWidth="1"/>
    <col min="5428" max="5632" width="9.109375" style="2303"/>
    <col min="5633" max="5633" width="7.88671875" style="2303" customWidth="1"/>
    <col min="5634" max="5634" width="36.44140625" style="2303" customWidth="1"/>
    <col min="5635" max="5635" width="9.88671875" style="2303" customWidth="1"/>
    <col min="5636" max="5636" width="10.33203125" style="2303" customWidth="1"/>
    <col min="5637" max="5637" width="10" style="2303" customWidth="1"/>
    <col min="5638" max="5638" width="9.88671875" style="2303" customWidth="1"/>
    <col min="5639" max="5639" width="9.5546875" style="2303" customWidth="1"/>
    <col min="5640" max="5640" width="10" style="2303" customWidth="1"/>
    <col min="5641" max="5673" width="0" style="2303" hidden="1" customWidth="1"/>
    <col min="5674" max="5676" width="9.109375" style="2303" customWidth="1"/>
    <col min="5677" max="5683" width="0" style="2303" hidden="1" customWidth="1"/>
    <col min="5684" max="5888" width="9.109375" style="2303"/>
    <col min="5889" max="5889" width="7.88671875" style="2303" customWidth="1"/>
    <col min="5890" max="5890" width="36.44140625" style="2303" customWidth="1"/>
    <col min="5891" max="5891" width="9.88671875" style="2303" customWidth="1"/>
    <col min="5892" max="5892" width="10.33203125" style="2303" customWidth="1"/>
    <col min="5893" max="5893" width="10" style="2303" customWidth="1"/>
    <col min="5894" max="5894" width="9.88671875" style="2303" customWidth="1"/>
    <col min="5895" max="5895" width="9.5546875" style="2303" customWidth="1"/>
    <col min="5896" max="5896" width="10" style="2303" customWidth="1"/>
    <col min="5897" max="5929" width="0" style="2303" hidden="1" customWidth="1"/>
    <col min="5930" max="5932" width="9.109375" style="2303" customWidth="1"/>
    <col min="5933" max="5939" width="0" style="2303" hidden="1" customWidth="1"/>
    <col min="5940" max="6144" width="9.109375" style="2303"/>
    <col min="6145" max="6145" width="7.88671875" style="2303" customWidth="1"/>
    <col min="6146" max="6146" width="36.44140625" style="2303" customWidth="1"/>
    <col min="6147" max="6147" width="9.88671875" style="2303" customWidth="1"/>
    <col min="6148" max="6148" width="10.33203125" style="2303" customWidth="1"/>
    <col min="6149" max="6149" width="10" style="2303" customWidth="1"/>
    <col min="6150" max="6150" width="9.88671875" style="2303" customWidth="1"/>
    <col min="6151" max="6151" width="9.5546875" style="2303" customWidth="1"/>
    <col min="6152" max="6152" width="10" style="2303" customWidth="1"/>
    <col min="6153" max="6185" width="0" style="2303" hidden="1" customWidth="1"/>
    <col min="6186" max="6188" width="9.109375" style="2303" customWidth="1"/>
    <col min="6189" max="6195" width="0" style="2303" hidden="1" customWidth="1"/>
    <col min="6196" max="6400" width="9.109375" style="2303"/>
    <col min="6401" max="6401" width="7.88671875" style="2303" customWidth="1"/>
    <col min="6402" max="6402" width="36.44140625" style="2303" customWidth="1"/>
    <col min="6403" max="6403" width="9.88671875" style="2303" customWidth="1"/>
    <col min="6404" max="6404" width="10.33203125" style="2303" customWidth="1"/>
    <col min="6405" max="6405" width="10" style="2303" customWidth="1"/>
    <col min="6406" max="6406" width="9.88671875" style="2303" customWidth="1"/>
    <col min="6407" max="6407" width="9.5546875" style="2303" customWidth="1"/>
    <col min="6408" max="6408" width="10" style="2303" customWidth="1"/>
    <col min="6409" max="6441" width="0" style="2303" hidden="1" customWidth="1"/>
    <col min="6442" max="6444" width="9.109375" style="2303" customWidth="1"/>
    <col min="6445" max="6451" width="0" style="2303" hidden="1" customWidth="1"/>
    <col min="6452" max="6656" width="9.109375" style="2303"/>
    <col min="6657" max="6657" width="7.88671875" style="2303" customWidth="1"/>
    <col min="6658" max="6658" width="36.44140625" style="2303" customWidth="1"/>
    <col min="6659" max="6659" width="9.88671875" style="2303" customWidth="1"/>
    <col min="6660" max="6660" width="10.33203125" style="2303" customWidth="1"/>
    <col min="6661" max="6661" width="10" style="2303" customWidth="1"/>
    <col min="6662" max="6662" width="9.88671875" style="2303" customWidth="1"/>
    <col min="6663" max="6663" width="9.5546875" style="2303" customWidth="1"/>
    <col min="6664" max="6664" width="10" style="2303" customWidth="1"/>
    <col min="6665" max="6697" width="0" style="2303" hidden="1" customWidth="1"/>
    <col min="6698" max="6700" width="9.109375" style="2303" customWidth="1"/>
    <col min="6701" max="6707" width="0" style="2303" hidden="1" customWidth="1"/>
    <col min="6708" max="6912" width="9.109375" style="2303"/>
    <col min="6913" max="6913" width="7.88671875" style="2303" customWidth="1"/>
    <col min="6914" max="6914" width="36.44140625" style="2303" customWidth="1"/>
    <col min="6915" max="6915" width="9.88671875" style="2303" customWidth="1"/>
    <col min="6916" max="6916" width="10.33203125" style="2303" customWidth="1"/>
    <col min="6917" max="6917" width="10" style="2303" customWidth="1"/>
    <col min="6918" max="6918" width="9.88671875" style="2303" customWidth="1"/>
    <col min="6919" max="6919" width="9.5546875" style="2303" customWidth="1"/>
    <col min="6920" max="6920" width="10" style="2303" customWidth="1"/>
    <col min="6921" max="6953" width="0" style="2303" hidden="1" customWidth="1"/>
    <col min="6954" max="6956" width="9.109375" style="2303" customWidth="1"/>
    <col min="6957" max="6963" width="0" style="2303" hidden="1" customWidth="1"/>
    <col min="6964" max="7168" width="9.109375" style="2303"/>
    <col min="7169" max="7169" width="7.88671875" style="2303" customWidth="1"/>
    <col min="7170" max="7170" width="36.44140625" style="2303" customWidth="1"/>
    <col min="7171" max="7171" width="9.88671875" style="2303" customWidth="1"/>
    <col min="7172" max="7172" width="10.33203125" style="2303" customWidth="1"/>
    <col min="7173" max="7173" width="10" style="2303" customWidth="1"/>
    <col min="7174" max="7174" width="9.88671875" style="2303" customWidth="1"/>
    <col min="7175" max="7175" width="9.5546875" style="2303" customWidth="1"/>
    <col min="7176" max="7176" width="10" style="2303" customWidth="1"/>
    <col min="7177" max="7209" width="0" style="2303" hidden="1" customWidth="1"/>
    <col min="7210" max="7212" width="9.109375" style="2303" customWidth="1"/>
    <col min="7213" max="7219" width="0" style="2303" hidden="1" customWidth="1"/>
    <col min="7220" max="7424" width="9.109375" style="2303"/>
    <col min="7425" max="7425" width="7.88671875" style="2303" customWidth="1"/>
    <col min="7426" max="7426" width="36.44140625" style="2303" customWidth="1"/>
    <col min="7427" max="7427" width="9.88671875" style="2303" customWidth="1"/>
    <col min="7428" max="7428" width="10.33203125" style="2303" customWidth="1"/>
    <col min="7429" max="7429" width="10" style="2303" customWidth="1"/>
    <col min="7430" max="7430" width="9.88671875" style="2303" customWidth="1"/>
    <col min="7431" max="7431" width="9.5546875" style="2303" customWidth="1"/>
    <col min="7432" max="7432" width="10" style="2303" customWidth="1"/>
    <col min="7433" max="7465" width="0" style="2303" hidden="1" customWidth="1"/>
    <col min="7466" max="7468" width="9.109375" style="2303" customWidth="1"/>
    <col min="7469" max="7475" width="0" style="2303" hidden="1" customWidth="1"/>
    <col min="7476" max="7680" width="9.109375" style="2303"/>
    <col min="7681" max="7681" width="7.88671875" style="2303" customWidth="1"/>
    <col min="7682" max="7682" width="36.44140625" style="2303" customWidth="1"/>
    <col min="7683" max="7683" width="9.88671875" style="2303" customWidth="1"/>
    <col min="7684" max="7684" width="10.33203125" style="2303" customWidth="1"/>
    <col min="7685" max="7685" width="10" style="2303" customWidth="1"/>
    <col min="7686" max="7686" width="9.88671875" style="2303" customWidth="1"/>
    <col min="7687" max="7687" width="9.5546875" style="2303" customWidth="1"/>
    <col min="7688" max="7688" width="10" style="2303" customWidth="1"/>
    <col min="7689" max="7721" width="0" style="2303" hidden="1" customWidth="1"/>
    <col min="7722" max="7724" width="9.109375" style="2303" customWidth="1"/>
    <col min="7725" max="7731" width="0" style="2303" hidden="1" customWidth="1"/>
    <col min="7732" max="7936" width="9.109375" style="2303"/>
    <col min="7937" max="7937" width="7.88671875" style="2303" customWidth="1"/>
    <col min="7938" max="7938" width="36.44140625" style="2303" customWidth="1"/>
    <col min="7939" max="7939" width="9.88671875" style="2303" customWidth="1"/>
    <col min="7940" max="7940" width="10.33203125" style="2303" customWidth="1"/>
    <col min="7941" max="7941" width="10" style="2303" customWidth="1"/>
    <col min="7942" max="7942" width="9.88671875" style="2303" customWidth="1"/>
    <col min="7943" max="7943" width="9.5546875" style="2303" customWidth="1"/>
    <col min="7944" max="7944" width="10" style="2303" customWidth="1"/>
    <col min="7945" max="7977" width="0" style="2303" hidden="1" customWidth="1"/>
    <col min="7978" max="7980" width="9.109375" style="2303" customWidth="1"/>
    <col min="7981" max="7987" width="0" style="2303" hidden="1" customWidth="1"/>
    <col min="7988" max="8192" width="9.109375" style="2303"/>
    <col min="8193" max="8193" width="7.88671875" style="2303" customWidth="1"/>
    <col min="8194" max="8194" width="36.44140625" style="2303" customWidth="1"/>
    <col min="8195" max="8195" width="9.88671875" style="2303" customWidth="1"/>
    <col min="8196" max="8196" width="10.33203125" style="2303" customWidth="1"/>
    <col min="8197" max="8197" width="10" style="2303" customWidth="1"/>
    <col min="8198" max="8198" width="9.88671875" style="2303" customWidth="1"/>
    <col min="8199" max="8199" width="9.5546875" style="2303" customWidth="1"/>
    <col min="8200" max="8200" width="10" style="2303" customWidth="1"/>
    <col min="8201" max="8233" width="0" style="2303" hidden="1" customWidth="1"/>
    <col min="8234" max="8236" width="9.109375" style="2303" customWidth="1"/>
    <col min="8237" max="8243" width="0" style="2303" hidden="1" customWidth="1"/>
    <col min="8244" max="8448" width="9.109375" style="2303"/>
    <col min="8449" max="8449" width="7.88671875" style="2303" customWidth="1"/>
    <col min="8450" max="8450" width="36.44140625" style="2303" customWidth="1"/>
    <col min="8451" max="8451" width="9.88671875" style="2303" customWidth="1"/>
    <col min="8452" max="8452" width="10.33203125" style="2303" customWidth="1"/>
    <col min="8453" max="8453" width="10" style="2303" customWidth="1"/>
    <col min="8454" max="8454" width="9.88671875" style="2303" customWidth="1"/>
    <col min="8455" max="8455" width="9.5546875" style="2303" customWidth="1"/>
    <col min="8456" max="8456" width="10" style="2303" customWidth="1"/>
    <col min="8457" max="8489" width="0" style="2303" hidden="1" customWidth="1"/>
    <col min="8490" max="8492" width="9.109375" style="2303" customWidth="1"/>
    <col min="8493" max="8499" width="0" style="2303" hidden="1" customWidth="1"/>
    <col min="8500" max="8704" width="9.109375" style="2303"/>
    <col min="8705" max="8705" width="7.88671875" style="2303" customWidth="1"/>
    <col min="8706" max="8706" width="36.44140625" style="2303" customWidth="1"/>
    <col min="8707" max="8707" width="9.88671875" style="2303" customWidth="1"/>
    <col min="8708" max="8708" width="10.33203125" style="2303" customWidth="1"/>
    <col min="8709" max="8709" width="10" style="2303" customWidth="1"/>
    <col min="8710" max="8710" width="9.88671875" style="2303" customWidth="1"/>
    <col min="8711" max="8711" width="9.5546875" style="2303" customWidth="1"/>
    <col min="8712" max="8712" width="10" style="2303" customWidth="1"/>
    <col min="8713" max="8745" width="0" style="2303" hidden="1" customWidth="1"/>
    <col min="8746" max="8748" width="9.109375" style="2303" customWidth="1"/>
    <col min="8749" max="8755" width="0" style="2303" hidden="1" customWidth="1"/>
    <col min="8756" max="8960" width="9.109375" style="2303"/>
    <col min="8961" max="8961" width="7.88671875" style="2303" customWidth="1"/>
    <col min="8962" max="8962" width="36.44140625" style="2303" customWidth="1"/>
    <col min="8963" max="8963" width="9.88671875" style="2303" customWidth="1"/>
    <col min="8964" max="8964" width="10.33203125" style="2303" customWidth="1"/>
    <col min="8965" max="8965" width="10" style="2303" customWidth="1"/>
    <col min="8966" max="8966" width="9.88671875" style="2303" customWidth="1"/>
    <col min="8967" max="8967" width="9.5546875" style="2303" customWidth="1"/>
    <col min="8968" max="8968" width="10" style="2303" customWidth="1"/>
    <col min="8969" max="9001" width="0" style="2303" hidden="1" customWidth="1"/>
    <col min="9002" max="9004" width="9.109375" style="2303" customWidth="1"/>
    <col min="9005" max="9011" width="0" style="2303" hidden="1" customWidth="1"/>
    <col min="9012" max="9216" width="9.109375" style="2303"/>
    <col min="9217" max="9217" width="7.88671875" style="2303" customWidth="1"/>
    <col min="9218" max="9218" width="36.44140625" style="2303" customWidth="1"/>
    <col min="9219" max="9219" width="9.88671875" style="2303" customWidth="1"/>
    <col min="9220" max="9220" width="10.33203125" style="2303" customWidth="1"/>
    <col min="9221" max="9221" width="10" style="2303" customWidth="1"/>
    <col min="9222" max="9222" width="9.88671875" style="2303" customWidth="1"/>
    <col min="9223" max="9223" width="9.5546875" style="2303" customWidth="1"/>
    <col min="9224" max="9224" width="10" style="2303" customWidth="1"/>
    <col min="9225" max="9257" width="0" style="2303" hidden="1" customWidth="1"/>
    <col min="9258" max="9260" width="9.109375" style="2303" customWidth="1"/>
    <col min="9261" max="9267" width="0" style="2303" hidden="1" customWidth="1"/>
    <col min="9268" max="9472" width="9.109375" style="2303"/>
    <col min="9473" max="9473" width="7.88671875" style="2303" customWidth="1"/>
    <col min="9474" max="9474" width="36.44140625" style="2303" customWidth="1"/>
    <col min="9475" max="9475" width="9.88671875" style="2303" customWidth="1"/>
    <col min="9476" max="9476" width="10.33203125" style="2303" customWidth="1"/>
    <col min="9477" max="9477" width="10" style="2303" customWidth="1"/>
    <col min="9478" max="9478" width="9.88671875" style="2303" customWidth="1"/>
    <col min="9479" max="9479" width="9.5546875" style="2303" customWidth="1"/>
    <col min="9480" max="9480" width="10" style="2303" customWidth="1"/>
    <col min="9481" max="9513" width="0" style="2303" hidden="1" customWidth="1"/>
    <col min="9514" max="9516" width="9.109375" style="2303" customWidth="1"/>
    <col min="9517" max="9523" width="0" style="2303" hidden="1" customWidth="1"/>
    <col min="9524" max="9728" width="9.109375" style="2303"/>
    <col min="9729" max="9729" width="7.88671875" style="2303" customWidth="1"/>
    <col min="9730" max="9730" width="36.44140625" style="2303" customWidth="1"/>
    <col min="9731" max="9731" width="9.88671875" style="2303" customWidth="1"/>
    <col min="9732" max="9732" width="10.33203125" style="2303" customWidth="1"/>
    <col min="9733" max="9733" width="10" style="2303" customWidth="1"/>
    <col min="9734" max="9734" width="9.88671875" style="2303" customWidth="1"/>
    <col min="9735" max="9735" width="9.5546875" style="2303" customWidth="1"/>
    <col min="9736" max="9736" width="10" style="2303" customWidth="1"/>
    <col min="9737" max="9769" width="0" style="2303" hidden="1" customWidth="1"/>
    <col min="9770" max="9772" width="9.109375" style="2303" customWidth="1"/>
    <col min="9773" max="9779" width="0" style="2303" hidden="1" customWidth="1"/>
    <col min="9780" max="9984" width="9.109375" style="2303"/>
    <col min="9985" max="9985" width="7.88671875" style="2303" customWidth="1"/>
    <col min="9986" max="9986" width="36.44140625" style="2303" customWidth="1"/>
    <col min="9987" max="9987" width="9.88671875" style="2303" customWidth="1"/>
    <col min="9988" max="9988" width="10.33203125" style="2303" customWidth="1"/>
    <col min="9989" max="9989" width="10" style="2303" customWidth="1"/>
    <col min="9990" max="9990" width="9.88671875" style="2303" customWidth="1"/>
    <col min="9991" max="9991" width="9.5546875" style="2303" customWidth="1"/>
    <col min="9992" max="9992" width="10" style="2303" customWidth="1"/>
    <col min="9993" max="10025" width="0" style="2303" hidden="1" customWidth="1"/>
    <col min="10026" max="10028" width="9.109375" style="2303" customWidth="1"/>
    <col min="10029" max="10035" width="0" style="2303" hidden="1" customWidth="1"/>
    <col min="10036" max="10240" width="9.109375" style="2303"/>
    <col min="10241" max="10241" width="7.88671875" style="2303" customWidth="1"/>
    <col min="10242" max="10242" width="36.44140625" style="2303" customWidth="1"/>
    <col min="10243" max="10243" width="9.88671875" style="2303" customWidth="1"/>
    <col min="10244" max="10244" width="10.33203125" style="2303" customWidth="1"/>
    <col min="10245" max="10245" width="10" style="2303" customWidth="1"/>
    <col min="10246" max="10246" width="9.88671875" style="2303" customWidth="1"/>
    <col min="10247" max="10247" width="9.5546875" style="2303" customWidth="1"/>
    <col min="10248" max="10248" width="10" style="2303" customWidth="1"/>
    <col min="10249" max="10281" width="0" style="2303" hidden="1" customWidth="1"/>
    <col min="10282" max="10284" width="9.109375" style="2303" customWidth="1"/>
    <col min="10285" max="10291" width="0" style="2303" hidden="1" customWidth="1"/>
    <col min="10292" max="10496" width="9.109375" style="2303"/>
    <col min="10497" max="10497" width="7.88671875" style="2303" customWidth="1"/>
    <col min="10498" max="10498" width="36.44140625" style="2303" customWidth="1"/>
    <col min="10499" max="10499" width="9.88671875" style="2303" customWidth="1"/>
    <col min="10500" max="10500" width="10.33203125" style="2303" customWidth="1"/>
    <col min="10501" max="10501" width="10" style="2303" customWidth="1"/>
    <col min="10502" max="10502" width="9.88671875" style="2303" customWidth="1"/>
    <col min="10503" max="10503" width="9.5546875" style="2303" customWidth="1"/>
    <col min="10504" max="10504" width="10" style="2303" customWidth="1"/>
    <col min="10505" max="10537" width="0" style="2303" hidden="1" customWidth="1"/>
    <col min="10538" max="10540" width="9.109375" style="2303" customWidth="1"/>
    <col min="10541" max="10547" width="0" style="2303" hidden="1" customWidth="1"/>
    <col min="10548" max="10752" width="9.109375" style="2303"/>
    <col min="10753" max="10753" width="7.88671875" style="2303" customWidth="1"/>
    <col min="10754" max="10754" width="36.44140625" style="2303" customWidth="1"/>
    <col min="10755" max="10755" width="9.88671875" style="2303" customWidth="1"/>
    <col min="10756" max="10756" width="10.33203125" style="2303" customWidth="1"/>
    <col min="10757" max="10757" width="10" style="2303" customWidth="1"/>
    <col min="10758" max="10758" width="9.88671875" style="2303" customWidth="1"/>
    <col min="10759" max="10759" width="9.5546875" style="2303" customWidth="1"/>
    <col min="10760" max="10760" width="10" style="2303" customWidth="1"/>
    <col min="10761" max="10793" width="0" style="2303" hidden="1" customWidth="1"/>
    <col min="10794" max="10796" width="9.109375" style="2303" customWidth="1"/>
    <col min="10797" max="10803" width="0" style="2303" hidden="1" customWidth="1"/>
    <col min="10804" max="11008" width="9.109375" style="2303"/>
    <col min="11009" max="11009" width="7.88671875" style="2303" customWidth="1"/>
    <col min="11010" max="11010" width="36.44140625" style="2303" customWidth="1"/>
    <col min="11011" max="11011" width="9.88671875" style="2303" customWidth="1"/>
    <col min="11012" max="11012" width="10.33203125" style="2303" customWidth="1"/>
    <col min="11013" max="11013" width="10" style="2303" customWidth="1"/>
    <col min="11014" max="11014" width="9.88671875" style="2303" customWidth="1"/>
    <col min="11015" max="11015" width="9.5546875" style="2303" customWidth="1"/>
    <col min="11016" max="11016" width="10" style="2303" customWidth="1"/>
    <col min="11017" max="11049" width="0" style="2303" hidden="1" customWidth="1"/>
    <col min="11050" max="11052" width="9.109375" style="2303" customWidth="1"/>
    <col min="11053" max="11059" width="0" style="2303" hidden="1" customWidth="1"/>
    <col min="11060" max="11264" width="9.109375" style="2303"/>
    <col min="11265" max="11265" width="7.88671875" style="2303" customWidth="1"/>
    <col min="11266" max="11266" width="36.44140625" style="2303" customWidth="1"/>
    <col min="11267" max="11267" width="9.88671875" style="2303" customWidth="1"/>
    <col min="11268" max="11268" width="10.33203125" style="2303" customWidth="1"/>
    <col min="11269" max="11269" width="10" style="2303" customWidth="1"/>
    <col min="11270" max="11270" width="9.88671875" style="2303" customWidth="1"/>
    <col min="11271" max="11271" width="9.5546875" style="2303" customWidth="1"/>
    <col min="11272" max="11272" width="10" style="2303" customWidth="1"/>
    <col min="11273" max="11305" width="0" style="2303" hidden="1" customWidth="1"/>
    <col min="11306" max="11308" width="9.109375" style="2303" customWidth="1"/>
    <col min="11309" max="11315" width="0" style="2303" hidden="1" customWidth="1"/>
    <col min="11316" max="11520" width="9.109375" style="2303"/>
    <col min="11521" max="11521" width="7.88671875" style="2303" customWidth="1"/>
    <col min="11522" max="11522" width="36.44140625" style="2303" customWidth="1"/>
    <col min="11523" max="11523" width="9.88671875" style="2303" customWidth="1"/>
    <col min="11524" max="11524" width="10.33203125" style="2303" customWidth="1"/>
    <col min="11525" max="11525" width="10" style="2303" customWidth="1"/>
    <col min="11526" max="11526" width="9.88671875" style="2303" customWidth="1"/>
    <col min="11527" max="11527" width="9.5546875" style="2303" customWidth="1"/>
    <col min="11528" max="11528" width="10" style="2303" customWidth="1"/>
    <col min="11529" max="11561" width="0" style="2303" hidden="1" customWidth="1"/>
    <col min="11562" max="11564" width="9.109375" style="2303" customWidth="1"/>
    <col min="11565" max="11571" width="0" style="2303" hidden="1" customWidth="1"/>
    <col min="11572" max="11776" width="9.109375" style="2303"/>
    <col min="11777" max="11777" width="7.88671875" style="2303" customWidth="1"/>
    <col min="11778" max="11778" width="36.44140625" style="2303" customWidth="1"/>
    <col min="11779" max="11779" width="9.88671875" style="2303" customWidth="1"/>
    <col min="11780" max="11780" width="10.33203125" style="2303" customWidth="1"/>
    <col min="11781" max="11781" width="10" style="2303" customWidth="1"/>
    <col min="11782" max="11782" width="9.88671875" style="2303" customWidth="1"/>
    <col min="11783" max="11783" width="9.5546875" style="2303" customWidth="1"/>
    <col min="11784" max="11784" width="10" style="2303" customWidth="1"/>
    <col min="11785" max="11817" width="0" style="2303" hidden="1" customWidth="1"/>
    <col min="11818" max="11820" width="9.109375" style="2303" customWidth="1"/>
    <col min="11821" max="11827" width="0" style="2303" hidden="1" customWidth="1"/>
    <col min="11828" max="12032" width="9.109375" style="2303"/>
    <col min="12033" max="12033" width="7.88671875" style="2303" customWidth="1"/>
    <col min="12034" max="12034" width="36.44140625" style="2303" customWidth="1"/>
    <col min="12035" max="12035" width="9.88671875" style="2303" customWidth="1"/>
    <col min="12036" max="12036" width="10.33203125" style="2303" customWidth="1"/>
    <col min="12037" max="12037" width="10" style="2303" customWidth="1"/>
    <col min="12038" max="12038" width="9.88671875" style="2303" customWidth="1"/>
    <col min="12039" max="12039" width="9.5546875" style="2303" customWidth="1"/>
    <col min="12040" max="12040" width="10" style="2303" customWidth="1"/>
    <col min="12041" max="12073" width="0" style="2303" hidden="1" customWidth="1"/>
    <col min="12074" max="12076" width="9.109375" style="2303" customWidth="1"/>
    <col min="12077" max="12083" width="0" style="2303" hidden="1" customWidth="1"/>
    <col min="12084" max="12288" width="9.109375" style="2303"/>
    <col min="12289" max="12289" width="7.88671875" style="2303" customWidth="1"/>
    <col min="12290" max="12290" width="36.44140625" style="2303" customWidth="1"/>
    <col min="12291" max="12291" width="9.88671875" style="2303" customWidth="1"/>
    <col min="12292" max="12292" width="10.33203125" style="2303" customWidth="1"/>
    <col min="12293" max="12293" width="10" style="2303" customWidth="1"/>
    <col min="12294" max="12294" width="9.88671875" style="2303" customWidth="1"/>
    <col min="12295" max="12295" width="9.5546875" style="2303" customWidth="1"/>
    <col min="12296" max="12296" width="10" style="2303" customWidth="1"/>
    <col min="12297" max="12329" width="0" style="2303" hidden="1" customWidth="1"/>
    <col min="12330" max="12332" width="9.109375" style="2303" customWidth="1"/>
    <col min="12333" max="12339" width="0" style="2303" hidden="1" customWidth="1"/>
    <col min="12340" max="12544" width="9.109375" style="2303"/>
    <col min="12545" max="12545" width="7.88671875" style="2303" customWidth="1"/>
    <col min="12546" max="12546" width="36.44140625" style="2303" customWidth="1"/>
    <col min="12547" max="12547" width="9.88671875" style="2303" customWidth="1"/>
    <col min="12548" max="12548" width="10.33203125" style="2303" customWidth="1"/>
    <col min="12549" max="12549" width="10" style="2303" customWidth="1"/>
    <col min="12550" max="12550" width="9.88671875" style="2303" customWidth="1"/>
    <col min="12551" max="12551" width="9.5546875" style="2303" customWidth="1"/>
    <col min="12552" max="12552" width="10" style="2303" customWidth="1"/>
    <col min="12553" max="12585" width="0" style="2303" hidden="1" customWidth="1"/>
    <col min="12586" max="12588" width="9.109375" style="2303" customWidth="1"/>
    <col min="12589" max="12595" width="0" style="2303" hidden="1" customWidth="1"/>
    <col min="12596" max="12800" width="9.109375" style="2303"/>
    <col min="12801" max="12801" width="7.88671875" style="2303" customWidth="1"/>
    <col min="12802" max="12802" width="36.44140625" style="2303" customWidth="1"/>
    <col min="12803" max="12803" width="9.88671875" style="2303" customWidth="1"/>
    <col min="12804" max="12804" width="10.33203125" style="2303" customWidth="1"/>
    <col min="12805" max="12805" width="10" style="2303" customWidth="1"/>
    <col min="12806" max="12806" width="9.88671875" style="2303" customWidth="1"/>
    <col min="12807" max="12807" width="9.5546875" style="2303" customWidth="1"/>
    <col min="12808" max="12808" width="10" style="2303" customWidth="1"/>
    <col min="12809" max="12841" width="0" style="2303" hidden="1" customWidth="1"/>
    <col min="12842" max="12844" width="9.109375" style="2303" customWidth="1"/>
    <col min="12845" max="12851" width="0" style="2303" hidden="1" customWidth="1"/>
    <col min="12852" max="13056" width="9.109375" style="2303"/>
    <col min="13057" max="13057" width="7.88671875" style="2303" customWidth="1"/>
    <col min="13058" max="13058" width="36.44140625" style="2303" customWidth="1"/>
    <col min="13059" max="13059" width="9.88671875" style="2303" customWidth="1"/>
    <col min="13060" max="13060" width="10.33203125" style="2303" customWidth="1"/>
    <col min="13061" max="13061" width="10" style="2303" customWidth="1"/>
    <col min="13062" max="13062" width="9.88671875" style="2303" customWidth="1"/>
    <col min="13063" max="13063" width="9.5546875" style="2303" customWidth="1"/>
    <col min="13064" max="13064" width="10" style="2303" customWidth="1"/>
    <col min="13065" max="13097" width="0" style="2303" hidden="1" customWidth="1"/>
    <col min="13098" max="13100" width="9.109375" style="2303" customWidth="1"/>
    <col min="13101" max="13107" width="0" style="2303" hidden="1" customWidth="1"/>
    <col min="13108" max="13312" width="9.109375" style="2303"/>
    <col min="13313" max="13313" width="7.88671875" style="2303" customWidth="1"/>
    <col min="13314" max="13314" width="36.44140625" style="2303" customWidth="1"/>
    <col min="13315" max="13315" width="9.88671875" style="2303" customWidth="1"/>
    <col min="13316" max="13316" width="10.33203125" style="2303" customWidth="1"/>
    <col min="13317" max="13317" width="10" style="2303" customWidth="1"/>
    <col min="13318" max="13318" width="9.88671875" style="2303" customWidth="1"/>
    <col min="13319" max="13319" width="9.5546875" style="2303" customWidth="1"/>
    <col min="13320" max="13320" width="10" style="2303" customWidth="1"/>
    <col min="13321" max="13353" width="0" style="2303" hidden="1" customWidth="1"/>
    <col min="13354" max="13356" width="9.109375" style="2303" customWidth="1"/>
    <col min="13357" max="13363" width="0" style="2303" hidden="1" customWidth="1"/>
    <col min="13364" max="13568" width="9.109375" style="2303"/>
    <col min="13569" max="13569" width="7.88671875" style="2303" customWidth="1"/>
    <col min="13570" max="13570" width="36.44140625" style="2303" customWidth="1"/>
    <col min="13571" max="13571" width="9.88671875" style="2303" customWidth="1"/>
    <col min="13572" max="13572" width="10.33203125" style="2303" customWidth="1"/>
    <col min="13573" max="13573" width="10" style="2303" customWidth="1"/>
    <col min="13574" max="13574" width="9.88671875" style="2303" customWidth="1"/>
    <col min="13575" max="13575" width="9.5546875" style="2303" customWidth="1"/>
    <col min="13576" max="13576" width="10" style="2303" customWidth="1"/>
    <col min="13577" max="13609" width="0" style="2303" hidden="1" customWidth="1"/>
    <col min="13610" max="13612" width="9.109375" style="2303" customWidth="1"/>
    <col min="13613" max="13619" width="0" style="2303" hidden="1" customWidth="1"/>
    <col min="13620" max="13824" width="9.109375" style="2303"/>
    <col min="13825" max="13825" width="7.88671875" style="2303" customWidth="1"/>
    <col min="13826" max="13826" width="36.44140625" style="2303" customWidth="1"/>
    <col min="13827" max="13827" width="9.88671875" style="2303" customWidth="1"/>
    <col min="13828" max="13828" width="10.33203125" style="2303" customWidth="1"/>
    <col min="13829" max="13829" width="10" style="2303" customWidth="1"/>
    <col min="13830" max="13830" width="9.88671875" style="2303" customWidth="1"/>
    <col min="13831" max="13831" width="9.5546875" style="2303" customWidth="1"/>
    <col min="13832" max="13832" width="10" style="2303" customWidth="1"/>
    <col min="13833" max="13865" width="0" style="2303" hidden="1" customWidth="1"/>
    <col min="13866" max="13868" width="9.109375" style="2303" customWidth="1"/>
    <col min="13869" max="13875" width="0" style="2303" hidden="1" customWidth="1"/>
    <col min="13876" max="14080" width="9.109375" style="2303"/>
    <col min="14081" max="14081" width="7.88671875" style="2303" customWidth="1"/>
    <col min="14082" max="14082" width="36.44140625" style="2303" customWidth="1"/>
    <col min="14083" max="14083" width="9.88671875" style="2303" customWidth="1"/>
    <col min="14084" max="14084" width="10.33203125" style="2303" customWidth="1"/>
    <col min="14085" max="14085" width="10" style="2303" customWidth="1"/>
    <col min="14086" max="14086" width="9.88671875" style="2303" customWidth="1"/>
    <col min="14087" max="14087" width="9.5546875" style="2303" customWidth="1"/>
    <col min="14088" max="14088" width="10" style="2303" customWidth="1"/>
    <col min="14089" max="14121" width="0" style="2303" hidden="1" customWidth="1"/>
    <col min="14122" max="14124" width="9.109375" style="2303" customWidth="1"/>
    <col min="14125" max="14131" width="0" style="2303" hidden="1" customWidth="1"/>
    <col min="14132" max="14336" width="9.109375" style="2303"/>
    <col min="14337" max="14337" width="7.88671875" style="2303" customWidth="1"/>
    <col min="14338" max="14338" width="36.44140625" style="2303" customWidth="1"/>
    <col min="14339" max="14339" width="9.88671875" style="2303" customWidth="1"/>
    <col min="14340" max="14340" width="10.33203125" style="2303" customWidth="1"/>
    <col min="14341" max="14341" width="10" style="2303" customWidth="1"/>
    <col min="14342" max="14342" width="9.88671875" style="2303" customWidth="1"/>
    <col min="14343" max="14343" width="9.5546875" style="2303" customWidth="1"/>
    <col min="14344" max="14344" width="10" style="2303" customWidth="1"/>
    <col min="14345" max="14377" width="0" style="2303" hidden="1" customWidth="1"/>
    <col min="14378" max="14380" width="9.109375" style="2303" customWidth="1"/>
    <col min="14381" max="14387" width="0" style="2303" hidden="1" customWidth="1"/>
    <col min="14388" max="14592" width="9.109375" style="2303"/>
    <col min="14593" max="14593" width="7.88671875" style="2303" customWidth="1"/>
    <col min="14594" max="14594" width="36.44140625" style="2303" customWidth="1"/>
    <col min="14595" max="14595" width="9.88671875" style="2303" customWidth="1"/>
    <col min="14596" max="14596" width="10.33203125" style="2303" customWidth="1"/>
    <col min="14597" max="14597" width="10" style="2303" customWidth="1"/>
    <col min="14598" max="14598" width="9.88671875" style="2303" customWidth="1"/>
    <col min="14599" max="14599" width="9.5546875" style="2303" customWidth="1"/>
    <col min="14600" max="14600" width="10" style="2303" customWidth="1"/>
    <col min="14601" max="14633" width="0" style="2303" hidden="1" customWidth="1"/>
    <col min="14634" max="14636" width="9.109375" style="2303" customWidth="1"/>
    <col min="14637" max="14643" width="0" style="2303" hidden="1" customWidth="1"/>
    <col min="14644" max="14848" width="9.109375" style="2303"/>
    <col min="14849" max="14849" width="7.88671875" style="2303" customWidth="1"/>
    <col min="14850" max="14850" width="36.44140625" style="2303" customWidth="1"/>
    <col min="14851" max="14851" width="9.88671875" style="2303" customWidth="1"/>
    <col min="14852" max="14852" width="10.33203125" style="2303" customWidth="1"/>
    <col min="14853" max="14853" width="10" style="2303" customWidth="1"/>
    <col min="14854" max="14854" width="9.88671875" style="2303" customWidth="1"/>
    <col min="14855" max="14855" width="9.5546875" style="2303" customWidth="1"/>
    <col min="14856" max="14856" width="10" style="2303" customWidth="1"/>
    <col min="14857" max="14889" width="0" style="2303" hidden="1" customWidth="1"/>
    <col min="14890" max="14892" width="9.109375" style="2303" customWidth="1"/>
    <col min="14893" max="14899" width="0" style="2303" hidden="1" customWidth="1"/>
    <col min="14900" max="15104" width="9.109375" style="2303"/>
    <col min="15105" max="15105" width="7.88671875" style="2303" customWidth="1"/>
    <col min="15106" max="15106" width="36.44140625" style="2303" customWidth="1"/>
    <col min="15107" max="15107" width="9.88671875" style="2303" customWidth="1"/>
    <col min="15108" max="15108" width="10.33203125" style="2303" customWidth="1"/>
    <col min="15109" max="15109" width="10" style="2303" customWidth="1"/>
    <col min="15110" max="15110" width="9.88671875" style="2303" customWidth="1"/>
    <col min="15111" max="15111" width="9.5546875" style="2303" customWidth="1"/>
    <col min="15112" max="15112" width="10" style="2303" customWidth="1"/>
    <col min="15113" max="15145" width="0" style="2303" hidden="1" customWidth="1"/>
    <col min="15146" max="15148" width="9.109375" style="2303" customWidth="1"/>
    <col min="15149" max="15155" width="0" style="2303" hidden="1" customWidth="1"/>
    <col min="15156" max="15360" width="9.109375" style="2303"/>
    <col min="15361" max="15361" width="7.88671875" style="2303" customWidth="1"/>
    <col min="15362" max="15362" width="36.44140625" style="2303" customWidth="1"/>
    <col min="15363" max="15363" width="9.88671875" style="2303" customWidth="1"/>
    <col min="15364" max="15364" width="10.33203125" style="2303" customWidth="1"/>
    <col min="15365" max="15365" width="10" style="2303" customWidth="1"/>
    <col min="15366" max="15366" width="9.88671875" style="2303" customWidth="1"/>
    <col min="15367" max="15367" width="9.5546875" style="2303" customWidth="1"/>
    <col min="15368" max="15368" width="10" style="2303" customWidth="1"/>
    <col min="15369" max="15401" width="0" style="2303" hidden="1" customWidth="1"/>
    <col min="15402" max="15404" width="9.109375" style="2303" customWidth="1"/>
    <col min="15405" max="15411" width="0" style="2303" hidden="1" customWidth="1"/>
    <col min="15412" max="15616" width="9.109375" style="2303"/>
    <col min="15617" max="15617" width="7.88671875" style="2303" customWidth="1"/>
    <col min="15618" max="15618" width="36.44140625" style="2303" customWidth="1"/>
    <col min="15619" max="15619" width="9.88671875" style="2303" customWidth="1"/>
    <col min="15620" max="15620" width="10.33203125" style="2303" customWidth="1"/>
    <col min="15621" max="15621" width="10" style="2303" customWidth="1"/>
    <col min="15622" max="15622" width="9.88671875" style="2303" customWidth="1"/>
    <col min="15623" max="15623" width="9.5546875" style="2303" customWidth="1"/>
    <col min="15624" max="15624" width="10" style="2303" customWidth="1"/>
    <col min="15625" max="15657" width="0" style="2303" hidden="1" customWidth="1"/>
    <col min="15658" max="15660" width="9.109375" style="2303" customWidth="1"/>
    <col min="15661" max="15667" width="0" style="2303" hidden="1" customWidth="1"/>
    <col min="15668" max="15872" width="9.109375" style="2303"/>
    <col min="15873" max="15873" width="7.88671875" style="2303" customWidth="1"/>
    <col min="15874" max="15874" width="36.44140625" style="2303" customWidth="1"/>
    <col min="15875" max="15875" width="9.88671875" style="2303" customWidth="1"/>
    <col min="15876" max="15876" width="10.33203125" style="2303" customWidth="1"/>
    <col min="15877" max="15877" width="10" style="2303" customWidth="1"/>
    <col min="15878" max="15878" width="9.88671875" style="2303" customWidth="1"/>
    <col min="15879" max="15879" width="9.5546875" style="2303" customWidth="1"/>
    <col min="15880" max="15880" width="10" style="2303" customWidth="1"/>
    <col min="15881" max="15913" width="0" style="2303" hidden="1" customWidth="1"/>
    <col min="15914" max="15916" width="9.109375" style="2303" customWidth="1"/>
    <col min="15917" max="15923" width="0" style="2303" hidden="1" customWidth="1"/>
    <col min="15924" max="16128" width="9.109375" style="2303"/>
    <col min="16129" max="16129" width="7.88671875" style="2303" customWidth="1"/>
    <col min="16130" max="16130" width="36.44140625" style="2303" customWidth="1"/>
    <col min="16131" max="16131" width="9.88671875" style="2303" customWidth="1"/>
    <col min="16132" max="16132" width="10.33203125" style="2303" customWidth="1"/>
    <col min="16133" max="16133" width="10" style="2303" customWidth="1"/>
    <col min="16134" max="16134" width="9.88671875" style="2303" customWidth="1"/>
    <col min="16135" max="16135" width="9.5546875" style="2303" customWidth="1"/>
    <col min="16136" max="16136" width="10" style="2303" customWidth="1"/>
    <col min="16137" max="16169" width="0" style="2303" hidden="1" customWidth="1"/>
    <col min="16170" max="16172" width="9.109375" style="2303" customWidth="1"/>
    <col min="16173" max="16179" width="0" style="2303" hidden="1" customWidth="1"/>
    <col min="16180" max="16384" width="9.109375" style="2303"/>
  </cols>
  <sheetData>
    <row r="1" spans="1:50" ht="15.6">
      <c r="A1" s="2297"/>
      <c r="B1" s="2297"/>
      <c r="C1" s="2297"/>
      <c r="D1" s="2298"/>
      <c r="E1" s="2297"/>
      <c r="F1" s="2298"/>
      <c r="G1" s="2297"/>
      <c r="H1" s="2423" t="s">
        <v>472</v>
      </c>
      <c r="K1" s="2297"/>
      <c r="L1" s="2424">
        <v>22293.2886</v>
      </c>
      <c r="N1" s="2424">
        <v>22851.354319999999</v>
      </c>
      <c r="R1" s="2425" t="s">
        <v>1731</v>
      </c>
      <c r="Z1" s="2333" t="s">
        <v>1528</v>
      </c>
      <c r="AA1" s="2333"/>
      <c r="AB1" s="2333"/>
      <c r="AC1" s="2333"/>
      <c r="AF1" s="2303" t="s">
        <v>1863</v>
      </c>
      <c r="AU1" s="2636" t="s">
        <v>1928</v>
      </c>
      <c r="AW1" s="2303" t="s">
        <v>1929</v>
      </c>
    </row>
    <row r="2" spans="1:50">
      <c r="A2" s="2297"/>
      <c r="B2" s="2297"/>
      <c r="C2" s="2297"/>
      <c r="D2" s="2298"/>
      <c r="E2" s="2297"/>
      <c r="F2" s="2298"/>
      <c r="G2" s="2297"/>
      <c r="H2" s="2297"/>
      <c r="K2" s="2297"/>
      <c r="L2" s="2426">
        <v>3.9062940058463584</v>
      </c>
      <c r="N2" s="2426">
        <v>3.0495850007458043</v>
      </c>
      <c r="O2" s="2427">
        <v>-0.85670900510055414</v>
      </c>
      <c r="AF2" s="2303" t="s">
        <v>1864</v>
      </c>
      <c r="AW2" s="2303" t="s">
        <v>1930</v>
      </c>
      <c r="AX2" s="2303" t="s">
        <v>1931</v>
      </c>
    </row>
    <row r="3" spans="1:50">
      <c r="A3" s="2297"/>
      <c r="B3" s="2297"/>
      <c r="C3" s="2297"/>
      <c r="D3" s="2298"/>
      <c r="E3" s="2297"/>
      <c r="F3" s="2298"/>
      <c r="G3" s="2297"/>
      <c r="H3" s="2428" t="s">
        <v>473</v>
      </c>
      <c r="K3" s="2297"/>
      <c r="AW3" s="2303" t="s">
        <v>388</v>
      </c>
    </row>
    <row r="4" spans="1:50" ht="15.6">
      <c r="A4" s="2797" t="s">
        <v>474</v>
      </c>
      <c r="B4" s="2797"/>
      <c r="C4" s="2797"/>
      <c r="D4" s="2797"/>
      <c r="E4" s="2797"/>
      <c r="F4" s="2797"/>
      <c r="G4" s="2797"/>
      <c r="H4" s="2797"/>
      <c r="K4" s="2297"/>
      <c r="L4" s="2424">
        <v>7016.3542959999995</v>
      </c>
      <c r="N4" s="2429">
        <v>0.93151607121511937</v>
      </c>
      <c r="O4" s="2424" t="s">
        <v>1529</v>
      </c>
      <c r="AW4" s="2303" t="s">
        <v>1728</v>
      </c>
    </row>
    <row r="5" spans="1:50" ht="15.6">
      <c r="A5" s="2797" t="s">
        <v>2048</v>
      </c>
      <c r="B5" s="2797"/>
      <c r="C5" s="2797"/>
      <c r="D5" s="2797"/>
      <c r="E5" s="2797"/>
      <c r="F5" s="2797"/>
      <c r="G5" s="2797"/>
      <c r="H5" s="2797"/>
      <c r="I5" s="2430"/>
      <c r="J5" s="2430"/>
      <c r="K5" s="2297" t="s">
        <v>1728</v>
      </c>
      <c r="L5" s="2424">
        <v>7016.3542959999995</v>
      </c>
      <c r="N5" s="2426">
        <v>0.93151607121511937</v>
      </c>
      <c r="O5" s="2424" t="s">
        <v>1530</v>
      </c>
    </row>
    <row r="6" spans="1:50">
      <c r="A6" s="2798" t="s">
        <v>229</v>
      </c>
      <c r="B6" s="2299" t="s">
        <v>1531</v>
      </c>
      <c r="C6" s="2300" t="s">
        <v>1532</v>
      </c>
      <c r="D6" s="2301"/>
      <c r="E6" s="2300" t="s">
        <v>1533</v>
      </c>
      <c r="F6" s="2301"/>
      <c r="G6" s="2300" t="s">
        <v>2049</v>
      </c>
      <c r="H6" s="2301"/>
      <c r="I6" s="2800" t="s">
        <v>1534</v>
      </c>
      <c r="J6" s="2795" t="s">
        <v>478</v>
      </c>
      <c r="K6" s="2298">
        <v>12023.386130000001</v>
      </c>
      <c r="L6" s="2302">
        <v>2.9805483340791379</v>
      </c>
      <c r="M6" s="2298">
        <v>10218.95419</v>
      </c>
      <c r="N6" s="2302">
        <v>2.9806283340791375</v>
      </c>
      <c r="O6" s="2297">
        <v>22242.340319999999</v>
      </c>
      <c r="P6" s="2302">
        <v>2.980603334079138</v>
      </c>
    </row>
    <row r="7" spans="1:50" ht="39.6">
      <c r="A7" s="2799"/>
      <c r="B7" s="2299"/>
      <c r="C7" s="2299" t="s">
        <v>475</v>
      </c>
      <c r="D7" s="2304" t="s">
        <v>476</v>
      </c>
      <c r="E7" s="2299" t="s">
        <v>475</v>
      </c>
      <c r="F7" s="2304" t="s">
        <v>476</v>
      </c>
      <c r="G7" s="2299" t="s">
        <v>475</v>
      </c>
      <c r="H7" s="2304" t="s">
        <v>476</v>
      </c>
      <c r="I7" s="2801"/>
      <c r="J7" s="2796"/>
      <c r="K7" s="2431">
        <v>7016.3542959999995</v>
      </c>
      <c r="L7" s="2431">
        <v>0.15443000000000001</v>
      </c>
      <c r="M7" s="2433">
        <v>7016.3542959999995</v>
      </c>
      <c r="N7" s="2431">
        <v>0.15443000000000001</v>
      </c>
      <c r="O7" s="2565">
        <v>22497.592000000004</v>
      </c>
      <c r="P7" s="2431">
        <v>3.8559999999999999</v>
      </c>
    </row>
    <row r="8" spans="1:50">
      <c r="A8" s="2305">
        <v>1</v>
      </c>
      <c r="B8" s="2305">
        <v>2</v>
      </c>
      <c r="C8" s="2306">
        <v>3</v>
      </c>
      <c r="D8" s="2306">
        <v>4</v>
      </c>
      <c r="E8" s="2306">
        <v>5</v>
      </c>
      <c r="F8" s="2306">
        <v>6</v>
      </c>
      <c r="G8" s="2306">
        <v>7</v>
      </c>
      <c r="H8" s="2306">
        <v>8</v>
      </c>
      <c r="I8" s="2432">
        <v>9</v>
      </c>
      <c r="J8" s="2432">
        <v>10</v>
      </c>
      <c r="K8" s="2431">
        <v>7016.3542959999995</v>
      </c>
      <c r="L8" s="2431">
        <v>0.93151607121511937</v>
      </c>
      <c r="M8" s="2433">
        <v>7016.3542959999995</v>
      </c>
      <c r="N8" s="2431">
        <v>0.93151607121511937</v>
      </c>
      <c r="O8" s="2565"/>
      <c r="P8" s="2431"/>
      <c r="R8" s="2319">
        <v>12829.580320000001</v>
      </c>
      <c r="S8" s="2319">
        <v>1.7420611008297933</v>
      </c>
    </row>
    <row r="9" spans="1:50">
      <c r="A9" s="2308" t="s">
        <v>479</v>
      </c>
      <c r="B9" s="2309" t="s">
        <v>480</v>
      </c>
      <c r="C9" s="2310">
        <v>12344.92813</v>
      </c>
      <c r="D9" s="2311">
        <v>3.0539950007458043</v>
      </c>
      <c r="E9" s="2310">
        <v>10506.42619</v>
      </c>
      <c r="F9" s="2311">
        <v>3.0451450007458041</v>
      </c>
      <c r="G9" s="2310">
        <v>22851.354319999999</v>
      </c>
      <c r="H9" s="2311">
        <v>3.0495850007458043</v>
      </c>
      <c r="I9" s="2432"/>
      <c r="J9" s="2432"/>
      <c r="K9" s="2431">
        <v>12451.758393375632</v>
      </c>
      <c r="L9" s="2431">
        <v>3.0804226268908534</v>
      </c>
      <c r="M9" s="2433">
        <v>10597.347230885043</v>
      </c>
      <c r="N9" s="2431">
        <v>3.0714969359563442</v>
      </c>
      <c r="O9" s="2565">
        <v>23049.105624260676</v>
      </c>
      <c r="P9" s="2431">
        <v>3.0759597814235988</v>
      </c>
      <c r="Q9" s="2307"/>
      <c r="S9" s="2303">
        <v>22941.249</v>
      </c>
      <c r="T9" s="2303">
        <v>3.907314483366763</v>
      </c>
      <c r="V9" s="2427"/>
    </row>
    <row r="10" spans="1:50">
      <c r="A10" s="2308"/>
      <c r="B10" s="2312" t="s">
        <v>481</v>
      </c>
      <c r="C10" s="2310"/>
      <c r="D10" s="2313"/>
      <c r="E10" s="2310"/>
      <c r="F10" s="2313"/>
      <c r="G10" s="2310"/>
      <c r="H10" s="2313"/>
      <c r="I10" s="2432"/>
      <c r="J10" s="2432"/>
      <c r="K10" s="2303">
        <v>11549.023000000001</v>
      </c>
      <c r="L10" s="2333">
        <v>3.916084759754737</v>
      </c>
      <c r="M10" s="2303">
        <v>11387.950999999999</v>
      </c>
      <c r="N10" s="2303">
        <v>3.896602982488993</v>
      </c>
      <c r="O10" s="2566">
        <v>22936.973000000002</v>
      </c>
      <c r="P10" s="2333">
        <v>3.9062938711218647</v>
      </c>
    </row>
    <row r="11" spans="1:50">
      <c r="A11" s="2308" t="s">
        <v>482</v>
      </c>
      <c r="B11" s="2312" t="s">
        <v>502</v>
      </c>
      <c r="C11" s="2307"/>
      <c r="D11" s="2313"/>
      <c r="E11" s="2307"/>
      <c r="F11" s="2313"/>
      <c r="G11" s="2307"/>
      <c r="H11" s="2313"/>
      <c r="I11" s="2432"/>
      <c r="J11" s="2432"/>
      <c r="K11" s="2307"/>
      <c r="L11" s="2433">
        <v>7493.2668918595446</v>
      </c>
      <c r="O11" s="2566">
        <v>-85.618680000003224</v>
      </c>
      <c r="P11" s="2434">
        <v>-0.85670887037606036</v>
      </c>
      <c r="U11" s="2303" t="s">
        <v>1932</v>
      </c>
    </row>
    <row r="12" spans="1:50" ht="13.8">
      <c r="A12" s="2308" t="s">
        <v>483</v>
      </c>
      <c r="B12" s="2312" t="s">
        <v>484</v>
      </c>
      <c r="C12" s="2310">
        <v>12344.92813</v>
      </c>
      <c r="D12" s="2311">
        <v>3.0539950007458043</v>
      </c>
      <c r="E12" s="2310">
        <v>10506.42619</v>
      </c>
      <c r="F12" s="2311">
        <v>3.0451450007458041</v>
      </c>
      <c r="G12" s="2310">
        <v>22851.354319999999</v>
      </c>
      <c r="H12" s="2311">
        <v>3.0495850007458043</v>
      </c>
      <c r="I12" s="2432"/>
      <c r="J12" s="2432"/>
      <c r="K12" s="2646">
        <v>2.980968334079138</v>
      </c>
      <c r="L12" s="2646" t="s">
        <v>2050</v>
      </c>
      <c r="M12" s="2314" t="s">
        <v>980</v>
      </c>
      <c r="O12" s="2333">
        <v>3.9770000000000003</v>
      </c>
      <c r="P12" s="2435">
        <v>8.2122448979591841E-4</v>
      </c>
      <c r="AU12" s="2436">
        <v>3.0495850007458043</v>
      </c>
    </row>
    <row r="13" spans="1:50">
      <c r="A13" s="2308"/>
      <c r="B13" s="2312" t="s">
        <v>481</v>
      </c>
      <c r="C13" s="2310"/>
      <c r="D13" s="2313"/>
      <c r="E13" s="2310"/>
      <c r="F13" s="2313"/>
      <c r="G13" s="2310"/>
      <c r="H13" s="2313"/>
      <c r="I13" s="2432"/>
      <c r="J13" s="2432"/>
      <c r="K13" s="2314">
        <v>7462.3617526321414</v>
      </c>
      <c r="L13" s="2437"/>
      <c r="M13" s="2314">
        <v>8745.3728331651837</v>
      </c>
      <c r="P13" s="2313" t="s">
        <v>1535</v>
      </c>
      <c r="U13" s="2303">
        <v>3.6752038589640519E-3</v>
      </c>
      <c r="V13" s="2637">
        <v>1.3247961410359482E-3</v>
      </c>
      <c r="AU13" s="2438">
        <v>2.8603350007458044</v>
      </c>
    </row>
    <row r="14" spans="1:50">
      <c r="A14" s="2308" t="s">
        <v>485</v>
      </c>
      <c r="B14" s="2312" t="s">
        <v>1865</v>
      </c>
      <c r="C14" s="2310">
        <v>12023.386130000001</v>
      </c>
      <c r="D14" s="2310">
        <v>2.9805483340791379</v>
      </c>
      <c r="E14" s="2310">
        <v>10218.95419</v>
      </c>
      <c r="F14" s="2310">
        <v>2.9806283340791375</v>
      </c>
      <c r="G14" s="2310">
        <v>22242.340319999999</v>
      </c>
      <c r="H14" s="2310">
        <v>2.980603334079138</v>
      </c>
      <c r="I14" s="2647"/>
      <c r="J14" s="2432"/>
      <c r="K14" s="2439" t="s">
        <v>249</v>
      </c>
      <c r="L14" s="2437">
        <v>689.34031999999934</v>
      </c>
      <c r="M14" s="2437">
        <v>0.1806033340791382</v>
      </c>
      <c r="N14" s="2321">
        <v>3.8559999999999999</v>
      </c>
      <c r="O14" s="2315">
        <v>2.6990099992541952</v>
      </c>
      <c r="P14" s="2313">
        <v>0.87539666592086185</v>
      </c>
      <c r="Q14" s="2335">
        <v>7462.3617526321414</v>
      </c>
      <c r="R14" s="2335">
        <v>7943.6929714285716</v>
      </c>
      <c r="S14" s="2315">
        <v>7227.8498</v>
      </c>
      <c r="T14" s="2315">
        <v>1.5905992828395166</v>
      </c>
      <c r="U14" s="2315">
        <v>7293.0925339999994</v>
      </c>
      <c r="V14" s="2315">
        <v>1.5911627685103256</v>
      </c>
      <c r="W14" s="2315">
        <v>14520.942334000001</v>
      </c>
      <c r="X14" s="2315">
        <v>1.5908860256749213</v>
      </c>
      <c r="AU14" s="2319">
        <v>1.5598334079138354E-2</v>
      </c>
      <c r="AV14" s="2438">
        <v>-0.20143</v>
      </c>
    </row>
    <row r="15" spans="1:50">
      <c r="A15" s="2308" t="s">
        <v>486</v>
      </c>
      <c r="B15" s="2312" t="s">
        <v>1866</v>
      </c>
      <c r="C15" s="2310">
        <v>255.11199999999999</v>
      </c>
      <c r="D15" s="2311">
        <v>5.8880000000000002E-2</v>
      </c>
      <c r="E15" s="2310">
        <v>221.642</v>
      </c>
      <c r="F15" s="2311">
        <v>5.015E-2</v>
      </c>
      <c r="G15" s="2310">
        <v>476.75400000000002</v>
      </c>
      <c r="H15" s="2311">
        <v>5.4515000000000001E-2</v>
      </c>
      <c r="I15" s="2648"/>
      <c r="J15" s="2432"/>
      <c r="K15" s="2439">
        <v>6.2052821033847592E-2</v>
      </c>
      <c r="L15" s="2439">
        <v>6.2057624218940337E-2</v>
      </c>
      <c r="O15" s="2303">
        <v>3307.263893970965</v>
      </c>
      <c r="Q15" s="2303">
        <v>7462.3617526321414</v>
      </c>
      <c r="S15" s="2303">
        <v>2.5390799452054793</v>
      </c>
      <c r="T15" s="2319">
        <v>-0.44152338887365872</v>
      </c>
    </row>
    <row r="16" spans="1:50">
      <c r="A16" s="2308" t="s">
        <v>1537</v>
      </c>
      <c r="B16" s="2312" t="s">
        <v>1867</v>
      </c>
      <c r="C16" s="2310">
        <v>37.729999999999997</v>
      </c>
      <c r="D16" s="2567">
        <v>5.0000000000000001E-3</v>
      </c>
      <c r="E16" s="2310">
        <v>37.729999999999997</v>
      </c>
      <c r="F16" s="2311">
        <v>5.0000000000000001E-3</v>
      </c>
      <c r="G16" s="2310">
        <v>75.459999999999994</v>
      </c>
      <c r="H16" s="2567">
        <v>5.0000000000000001E-3</v>
      </c>
      <c r="I16" s="2648"/>
      <c r="J16" s="2432"/>
      <c r="K16" s="2316" t="s">
        <v>1538</v>
      </c>
      <c r="L16" s="2440"/>
      <c r="R16" s="2303">
        <v>2.3999999999999799E-2</v>
      </c>
      <c r="S16" s="2438">
        <v>0.44152338887365872</v>
      </c>
      <c r="T16" s="2328">
        <v>0.63077338887365875</v>
      </c>
    </row>
    <row r="17" spans="1:49">
      <c r="A17" s="2308" t="s">
        <v>1710</v>
      </c>
      <c r="B17" s="2312" t="s">
        <v>1706</v>
      </c>
      <c r="C17" s="2310">
        <v>28.7</v>
      </c>
      <c r="D17" s="2320">
        <v>9.566666666666666E-3</v>
      </c>
      <c r="E17" s="2310">
        <v>28.1</v>
      </c>
      <c r="F17" s="2320">
        <v>9.3666666666666672E-3</v>
      </c>
      <c r="G17" s="2310">
        <v>56.8</v>
      </c>
      <c r="H17" s="2313">
        <v>9.4666666666666666E-3</v>
      </c>
      <c r="I17" s="2648"/>
      <c r="J17" s="2432"/>
      <c r="K17" s="2316">
        <v>56.793892473118284</v>
      </c>
      <c r="L17" s="2440"/>
      <c r="T17" s="2319">
        <v>1417.991</v>
      </c>
    </row>
    <row r="18" spans="1:49">
      <c r="A18" s="2308" t="s">
        <v>96</v>
      </c>
      <c r="B18" s="2312"/>
      <c r="C18" s="2310"/>
      <c r="D18" s="2321"/>
      <c r="E18" s="2310"/>
      <c r="F18" s="2321"/>
      <c r="G18" s="2310"/>
      <c r="H18" s="2321"/>
      <c r="I18" s="2432"/>
      <c r="J18" s="2432"/>
      <c r="K18" s="2316"/>
      <c r="L18" s="2568">
        <v>7462.3617526321414</v>
      </c>
      <c r="T18" s="2303">
        <v>7.1841335370370185E-2</v>
      </c>
      <c r="U18" s="2303">
        <v>15357.161643950036</v>
      </c>
    </row>
    <row r="19" spans="1:49">
      <c r="A19" s="2308" t="s">
        <v>487</v>
      </c>
      <c r="B19" s="2312" t="s">
        <v>488</v>
      </c>
      <c r="C19" s="2310">
        <v>766.03800000000001</v>
      </c>
      <c r="D19" s="2313">
        <v>0.18951000000000001</v>
      </c>
      <c r="E19" s="2310">
        <v>651.95299999999997</v>
      </c>
      <c r="F19" s="2313">
        <v>0.18895999999999999</v>
      </c>
      <c r="G19" s="2310">
        <v>1417.991</v>
      </c>
      <c r="H19" s="2313">
        <v>0.18925</v>
      </c>
      <c r="I19" s="2649"/>
      <c r="J19" s="2432"/>
      <c r="K19" s="2638">
        <v>766.03700000000003</v>
      </c>
      <c r="L19" s="2431">
        <v>0.18951000000000001</v>
      </c>
      <c r="M19" s="2638">
        <v>651.95299999999997</v>
      </c>
      <c r="N19" s="2431">
        <v>0.18895999999999999</v>
      </c>
      <c r="O19" s="2638">
        <v>1417.991</v>
      </c>
      <c r="P19" s="2431">
        <v>0.189</v>
      </c>
      <c r="Q19" s="2639" t="s">
        <v>1933</v>
      </c>
      <c r="R19" s="2639"/>
      <c r="T19" s="2303">
        <v>1103.279</v>
      </c>
      <c r="AU19" s="2441">
        <v>6.2052821033847592E-2</v>
      </c>
      <c r="AV19" s="2441">
        <v>6.2057624218940337E-2</v>
      </c>
    </row>
    <row r="20" spans="1:49" ht="26.4">
      <c r="A20" s="2317" t="s">
        <v>489</v>
      </c>
      <c r="B20" s="2312" t="s">
        <v>490</v>
      </c>
      <c r="C20" s="2310">
        <v>11578.89013</v>
      </c>
      <c r="D20" s="2313">
        <v>2.8644850007458045</v>
      </c>
      <c r="E20" s="2310">
        <v>9854.4731900000006</v>
      </c>
      <c r="F20" s="2313">
        <v>2.8561850007458043</v>
      </c>
      <c r="G20" s="2310">
        <v>21433.36332</v>
      </c>
      <c r="H20" s="2313">
        <v>2.8603350007458044</v>
      </c>
      <c r="I20" s="2432"/>
      <c r="J20" s="2432"/>
      <c r="K20" s="2303">
        <v>6.2057624218940337E-2</v>
      </c>
      <c r="L20" s="2639">
        <v>6.2052821033847592E-2</v>
      </c>
      <c r="M20" s="2318"/>
      <c r="N20" s="2319"/>
      <c r="O20" s="2442">
        <v>1417.99</v>
      </c>
      <c r="P20" s="2443">
        <v>0.18923499999999999</v>
      </c>
      <c r="R20" s="2441">
        <v>6.2052821033847592E-2</v>
      </c>
      <c r="S20" s="2441">
        <v>6.2057624218940337E-2</v>
      </c>
    </row>
    <row r="21" spans="1:49" ht="13.8">
      <c r="A21" s="2308"/>
      <c r="B21" s="2312" t="s">
        <v>251</v>
      </c>
      <c r="C21" s="2310"/>
      <c r="D21" s="2313"/>
      <c r="E21" s="2310"/>
      <c r="F21" s="2313"/>
      <c r="G21" s="2310"/>
      <c r="H21" s="2320"/>
      <c r="I21" s="2432"/>
      <c r="J21" s="1815"/>
      <c r="K21" s="2646">
        <v>4.2000000000008697E-4</v>
      </c>
      <c r="L21" s="2646">
        <v>3.4000000000045105E-4</v>
      </c>
      <c r="M21" s="2646">
        <v>3.649999999999487E-4</v>
      </c>
      <c r="N21" s="2646">
        <v>3.8000000000026901E-4</v>
      </c>
    </row>
    <row r="22" spans="1:49">
      <c r="A22" s="2308" t="s">
        <v>491</v>
      </c>
      <c r="B22" s="2312" t="s">
        <v>492</v>
      </c>
      <c r="C22" s="2310">
        <v>5092.6451300000008</v>
      </c>
      <c r="D22" s="2313">
        <v>1.2206550007458044</v>
      </c>
      <c r="E22" s="2310">
        <v>3833.6931899999995</v>
      </c>
      <c r="F22" s="2313">
        <v>1.2023550007458041</v>
      </c>
      <c r="G22" s="2310">
        <v>8926.3383200000007</v>
      </c>
      <c r="H22" s="2313">
        <v>1.2115050007458044</v>
      </c>
      <c r="I22" s="2649"/>
      <c r="J22" s="1815"/>
      <c r="K22" s="2333">
        <v>8351.5419999999995</v>
      </c>
      <c r="L22" s="2435">
        <v>1.0189883926940639</v>
      </c>
      <c r="M22" s="2333">
        <v>8195.9147521981886</v>
      </c>
      <c r="N22" s="2318">
        <v>7367.9748036573792</v>
      </c>
      <c r="O22" s="2319">
        <v>-574.79632000000129</v>
      </c>
      <c r="P22" s="2313">
        <v>2.086901666666666</v>
      </c>
      <c r="AV22" s="2303">
        <v>8926.3373200000005</v>
      </c>
      <c r="AW22" s="2303">
        <v>1.2115050007458046</v>
      </c>
    </row>
    <row r="23" spans="1:49">
      <c r="A23" s="2308" t="s">
        <v>493</v>
      </c>
      <c r="B23" s="2312" t="s">
        <v>494</v>
      </c>
      <c r="C23" s="2310">
        <v>6486.2449999999999</v>
      </c>
      <c r="D23" s="2313">
        <v>1.6438299999999999</v>
      </c>
      <c r="E23" s="2310">
        <v>6020.7800000000007</v>
      </c>
      <c r="F23" s="2313">
        <v>1.6538299999999999</v>
      </c>
      <c r="G23" s="2310">
        <v>12507.025</v>
      </c>
      <c r="H23" s="2320">
        <v>1.64883</v>
      </c>
      <c r="I23" s="2649"/>
      <c r="J23" s="1815"/>
      <c r="K23" s="2319">
        <v>8926.3383200000007</v>
      </c>
      <c r="L23" s="2328">
        <v>1.2115050007458044</v>
      </c>
      <c r="N23" s="2318"/>
      <c r="O23" s="2328">
        <v>0.90150500074580431</v>
      </c>
    </row>
    <row r="24" spans="1:49">
      <c r="A24" s="2308" t="s">
        <v>1709</v>
      </c>
      <c r="B24" s="2312" t="s">
        <v>251</v>
      </c>
      <c r="C24" s="2310"/>
      <c r="D24" s="2313"/>
      <c r="E24" s="2310"/>
      <c r="F24" s="2313"/>
      <c r="G24" s="2310"/>
      <c r="H24" s="2320"/>
      <c r="I24" s="2432"/>
      <c r="J24" s="2432"/>
      <c r="L24" s="2314" t="s">
        <v>705</v>
      </c>
      <c r="O24" s="2303">
        <v>9263.9996373740232</v>
      </c>
    </row>
    <row r="25" spans="1:49">
      <c r="A25" s="2308" t="s">
        <v>96</v>
      </c>
      <c r="B25" s="2312"/>
      <c r="C25" s="2310"/>
      <c r="D25" s="2313"/>
      <c r="E25" s="2310"/>
      <c r="F25" s="2313"/>
      <c r="G25" s="2310"/>
      <c r="H25" s="2320"/>
      <c r="I25" s="2432"/>
      <c r="J25" s="2432"/>
      <c r="K25" s="2315">
        <v>2.5834329558589886E-2</v>
      </c>
      <c r="L25" s="2650">
        <v>3.4292771593079419E-2</v>
      </c>
      <c r="M25" s="2315">
        <v>3.0053550575834365E-2</v>
      </c>
    </row>
    <row r="26" spans="1:49" hidden="1">
      <c r="A26" s="2308" t="s">
        <v>740</v>
      </c>
      <c r="B26" s="2312" t="s">
        <v>1539</v>
      </c>
      <c r="C26" s="2310">
        <v>0</v>
      </c>
      <c r="D26" s="2313">
        <v>0</v>
      </c>
      <c r="E26" s="2310">
        <v>0</v>
      </c>
      <c r="F26" s="2313">
        <v>0</v>
      </c>
      <c r="G26" s="2310">
        <v>0</v>
      </c>
      <c r="H26" s="2313">
        <v>0</v>
      </c>
      <c r="I26" s="2432"/>
      <c r="J26" s="2432"/>
      <c r="L26" s="2314" t="e">
        <v>#DIV/0!</v>
      </c>
    </row>
    <row r="27" spans="1:49" ht="26.4" hidden="1">
      <c r="A27" s="2444" t="s">
        <v>742</v>
      </c>
      <c r="B27" s="2312" t="s">
        <v>1707</v>
      </c>
      <c r="C27" s="2310"/>
      <c r="D27" s="2313"/>
      <c r="E27" s="2310"/>
      <c r="F27" s="2313"/>
      <c r="G27" s="2310"/>
      <c r="H27" s="2320"/>
      <c r="I27" s="2432"/>
      <c r="J27" s="2432"/>
    </row>
    <row r="28" spans="1:49">
      <c r="A28" s="2308" t="s">
        <v>740</v>
      </c>
      <c r="B28" s="2312" t="s">
        <v>735</v>
      </c>
      <c r="C28" s="2310">
        <v>431.55400000000003</v>
      </c>
      <c r="D28" s="2313">
        <v>9.1999999999999998E-2</v>
      </c>
      <c r="E28" s="2310">
        <v>370.214</v>
      </c>
      <c r="F28" s="2313">
        <v>9.1999999999999998E-2</v>
      </c>
      <c r="G28" s="2310">
        <v>801.76800000000003</v>
      </c>
      <c r="H28" s="2321">
        <v>9.1999999999999998E-2</v>
      </c>
      <c r="I28" s="2445"/>
      <c r="J28" s="2432"/>
      <c r="K28" s="2303">
        <v>0.18923499999999999</v>
      </c>
    </row>
    <row r="29" spans="1:49" ht="26.4">
      <c r="A29" s="2444" t="s">
        <v>742</v>
      </c>
      <c r="B29" s="2312" t="s">
        <v>1707</v>
      </c>
      <c r="C29" s="2310"/>
      <c r="D29" s="2313"/>
      <c r="E29" s="2310"/>
      <c r="F29" s="2313"/>
      <c r="G29" s="2310"/>
      <c r="H29" s="2320"/>
      <c r="I29" s="2432"/>
      <c r="J29" s="2432"/>
      <c r="K29" s="2318">
        <v>8067.9021323200341</v>
      </c>
      <c r="L29" s="2318">
        <v>6856.9127342454367</v>
      </c>
      <c r="M29" s="2318">
        <v>7462.3617526321414</v>
      </c>
    </row>
    <row r="30" spans="1:49">
      <c r="A30" s="2446" t="s">
        <v>1712</v>
      </c>
      <c r="B30" s="2312" t="s">
        <v>1540</v>
      </c>
      <c r="C30" s="2310">
        <v>389.89800000000002</v>
      </c>
      <c r="D30" s="2313">
        <v>0.09</v>
      </c>
      <c r="E30" s="2310">
        <v>429.9</v>
      </c>
      <c r="F30" s="2313">
        <v>0.1</v>
      </c>
      <c r="G30" s="2310">
        <v>819.798</v>
      </c>
      <c r="H30" s="2321">
        <v>9.5000000000000001E-2</v>
      </c>
      <c r="I30" s="2432"/>
      <c r="J30" s="2432"/>
    </row>
    <row r="31" spans="1:49" ht="26.4">
      <c r="A31" s="2444" t="s">
        <v>1708</v>
      </c>
      <c r="B31" s="2312" t="s">
        <v>1711</v>
      </c>
      <c r="C31" s="2310"/>
      <c r="D31" s="2321"/>
      <c r="E31" s="2310"/>
      <c r="F31" s="2321"/>
      <c r="G31" s="2310"/>
      <c r="H31" s="2321"/>
      <c r="I31" s="2432"/>
      <c r="J31" s="2432"/>
      <c r="L31" s="2333" t="s">
        <v>1498</v>
      </c>
      <c r="AF31" s="2303" t="s">
        <v>450</v>
      </c>
    </row>
    <row r="32" spans="1:49">
      <c r="A32" s="2446" t="s">
        <v>1713</v>
      </c>
      <c r="B32" s="2312" t="s">
        <v>1934</v>
      </c>
      <c r="C32" s="2310">
        <v>5664.7929999999997</v>
      </c>
      <c r="D32" s="2311">
        <v>1.46183</v>
      </c>
      <c r="E32" s="2310">
        <v>5220.6660000000002</v>
      </c>
      <c r="F32" s="2311">
        <v>1.46183</v>
      </c>
      <c r="G32" s="2310">
        <v>10885.458999999999</v>
      </c>
      <c r="H32" s="2311">
        <v>1.46183</v>
      </c>
      <c r="I32" s="2432"/>
      <c r="J32" s="2432"/>
      <c r="K32" s="2303" t="s">
        <v>1936</v>
      </c>
      <c r="L32" s="2333">
        <v>9927.4110000000001</v>
      </c>
      <c r="M32" s="2333">
        <v>1.33318</v>
      </c>
      <c r="N32" s="2424">
        <v>958.04799999999886</v>
      </c>
      <c r="O32" s="2333">
        <v>0.12864999999999993</v>
      </c>
      <c r="AF32" s="2303">
        <v>8165.0332288213131</v>
      </c>
      <c r="AG32" s="2303" t="s">
        <v>1244</v>
      </c>
      <c r="AU32" s="2303">
        <v>7446.4602587168129</v>
      </c>
    </row>
    <row r="33" spans="1:15" ht="26.4">
      <c r="A33" s="2444" t="s">
        <v>1714</v>
      </c>
      <c r="B33" s="2312" t="s">
        <v>1715</v>
      </c>
      <c r="C33" s="2310"/>
      <c r="D33" s="2321"/>
      <c r="E33" s="2310"/>
      <c r="F33" s="2321"/>
      <c r="G33" s="2310"/>
      <c r="H33" s="2321"/>
      <c r="I33" s="2432"/>
      <c r="J33" s="2432"/>
      <c r="O33" s="2303" t="s">
        <v>1868</v>
      </c>
    </row>
    <row r="34" spans="1:15">
      <c r="A34" s="2322"/>
      <c r="B34" s="2312" t="s">
        <v>96</v>
      </c>
      <c r="C34" s="2310"/>
      <c r="D34" s="2321"/>
      <c r="E34" s="2310"/>
      <c r="F34" s="2321"/>
      <c r="G34" s="2310"/>
      <c r="H34" s="2321"/>
      <c r="I34" s="2432"/>
      <c r="J34" s="2432"/>
      <c r="O34" s="2303">
        <v>2.7797900000000002</v>
      </c>
    </row>
    <row r="35" spans="1:15">
      <c r="A35" s="2323" t="s">
        <v>499</v>
      </c>
      <c r="B35" s="2312" t="s">
        <v>500</v>
      </c>
      <c r="C35" s="2310"/>
      <c r="D35" s="2321"/>
      <c r="E35" s="2310"/>
      <c r="F35" s="2321"/>
      <c r="G35" s="2310"/>
      <c r="H35" s="2321"/>
      <c r="I35" s="2432"/>
      <c r="J35" s="2432"/>
      <c r="O35" s="2438">
        <v>2.9084400000000001</v>
      </c>
    </row>
    <row r="36" spans="1:15">
      <c r="A36" s="2308"/>
      <c r="B36" s="2312" t="s">
        <v>481</v>
      </c>
      <c r="C36" s="2310"/>
      <c r="D36" s="2321"/>
      <c r="E36" s="2310"/>
      <c r="F36" s="2321"/>
      <c r="G36" s="2310"/>
      <c r="H36" s="2321"/>
      <c r="I36" s="2432"/>
      <c r="J36" s="2432"/>
    </row>
    <row r="37" spans="1:15">
      <c r="A37" s="2308" t="s">
        <v>501</v>
      </c>
      <c r="B37" s="2312" t="s">
        <v>502</v>
      </c>
      <c r="C37" s="2310"/>
      <c r="D37" s="2321"/>
      <c r="E37" s="2310"/>
      <c r="F37" s="2321"/>
      <c r="G37" s="2310"/>
      <c r="H37" s="2321"/>
      <c r="I37" s="2432"/>
      <c r="J37" s="2432"/>
    </row>
    <row r="38" spans="1:15">
      <c r="A38" s="2308" t="s">
        <v>503</v>
      </c>
      <c r="B38" s="2312" t="s">
        <v>484</v>
      </c>
      <c r="C38" s="2310"/>
      <c r="D38" s="2321"/>
      <c r="E38" s="2310"/>
      <c r="F38" s="2321"/>
      <c r="G38" s="2310"/>
      <c r="H38" s="2321"/>
      <c r="I38" s="2432"/>
      <c r="J38" s="2432"/>
    </row>
    <row r="39" spans="1:15">
      <c r="A39" s="2308"/>
      <c r="B39" s="2312" t="s">
        <v>481</v>
      </c>
      <c r="C39" s="2310"/>
      <c r="D39" s="2321"/>
      <c r="E39" s="2310"/>
      <c r="F39" s="2321"/>
      <c r="G39" s="2310"/>
      <c r="H39" s="2321"/>
      <c r="I39" s="2432"/>
      <c r="J39" s="2432"/>
    </row>
    <row r="40" spans="1:15">
      <c r="A40" s="2308" t="s">
        <v>504</v>
      </c>
      <c r="B40" s="2312" t="s">
        <v>505</v>
      </c>
      <c r="C40" s="2310"/>
      <c r="D40" s="2321"/>
      <c r="E40" s="2310"/>
      <c r="F40" s="2321"/>
      <c r="G40" s="2310"/>
      <c r="H40" s="2321"/>
      <c r="I40" s="2432"/>
      <c r="J40" s="2432"/>
    </row>
    <row r="41" spans="1:15">
      <c r="A41" s="2308" t="s">
        <v>506</v>
      </c>
      <c r="B41" s="2312" t="s">
        <v>507</v>
      </c>
      <c r="C41" s="2310"/>
      <c r="D41" s="2321"/>
      <c r="E41" s="2310"/>
      <c r="F41" s="2321"/>
      <c r="G41" s="2310"/>
      <c r="H41" s="2321"/>
      <c r="I41" s="2432"/>
      <c r="J41" s="2432"/>
    </row>
    <row r="42" spans="1:15">
      <c r="A42" s="2308"/>
      <c r="B42" s="2312" t="s">
        <v>96</v>
      </c>
      <c r="C42" s="2310"/>
      <c r="D42" s="2321"/>
      <c r="E42" s="2310"/>
      <c r="F42" s="2321"/>
      <c r="G42" s="2310"/>
      <c r="H42" s="2321"/>
      <c r="I42" s="2432"/>
      <c r="J42" s="2432"/>
    </row>
    <row r="43" spans="1:15">
      <c r="A43" s="2308" t="s">
        <v>508</v>
      </c>
      <c r="B43" s="2312" t="s">
        <v>509</v>
      </c>
      <c r="C43" s="2310"/>
      <c r="D43" s="2321"/>
      <c r="E43" s="2310"/>
      <c r="F43" s="2321"/>
      <c r="G43" s="2310"/>
      <c r="H43" s="2321"/>
      <c r="I43" s="2432"/>
      <c r="J43" s="2432"/>
    </row>
    <row r="44" spans="1:15">
      <c r="A44" s="2308" t="s">
        <v>510</v>
      </c>
      <c r="B44" s="2312" t="s">
        <v>511</v>
      </c>
      <c r="C44" s="2310"/>
      <c r="D44" s="2321"/>
      <c r="E44" s="2310"/>
      <c r="F44" s="2321"/>
      <c r="G44" s="2310"/>
      <c r="H44" s="2321"/>
      <c r="I44" s="2432"/>
      <c r="J44" s="2432"/>
    </row>
    <row r="45" spans="1:15">
      <c r="A45" s="2308"/>
      <c r="B45" s="2312" t="s">
        <v>251</v>
      </c>
      <c r="C45" s="2310"/>
      <c r="D45" s="2321"/>
      <c r="E45" s="2310"/>
      <c r="F45" s="2321"/>
      <c r="G45" s="2310"/>
      <c r="H45" s="2321"/>
      <c r="I45" s="2432"/>
      <c r="J45" s="2432"/>
    </row>
    <row r="46" spans="1:15">
      <c r="A46" s="2308" t="s">
        <v>512</v>
      </c>
      <c r="B46" s="2312" t="s">
        <v>492</v>
      </c>
      <c r="C46" s="2310"/>
      <c r="D46" s="2321"/>
      <c r="E46" s="2310"/>
      <c r="F46" s="2321"/>
      <c r="G46" s="2310"/>
      <c r="H46" s="2321"/>
      <c r="I46" s="2432"/>
      <c r="J46" s="2432"/>
    </row>
    <row r="47" spans="1:15">
      <c r="A47" s="2308" t="s">
        <v>513</v>
      </c>
      <c r="B47" s="2312" t="s">
        <v>494</v>
      </c>
      <c r="C47" s="2310"/>
      <c r="D47" s="2321"/>
      <c r="E47" s="2310"/>
      <c r="F47" s="2321"/>
      <c r="G47" s="2310"/>
      <c r="H47" s="2321"/>
      <c r="I47" s="2432"/>
      <c r="J47" s="2432"/>
    </row>
    <row r="48" spans="1:15">
      <c r="A48" s="2308"/>
      <c r="B48" s="2312" t="s">
        <v>251</v>
      </c>
      <c r="C48" s="2310"/>
      <c r="D48" s="2321"/>
      <c r="E48" s="2310"/>
      <c r="F48" s="2321"/>
      <c r="G48" s="2310"/>
      <c r="H48" s="2321"/>
      <c r="I48" s="2447"/>
      <c r="J48" s="2447"/>
    </row>
    <row r="49" spans="1:47">
      <c r="A49" s="2308" t="s">
        <v>514</v>
      </c>
      <c r="B49" s="2312" t="s">
        <v>505</v>
      </c>
      <c r="C49" s="2310"/>
      <c r="D49" s="2321"/>
      <c r="E49" s="2310"/>
      <c r="F49" s="2321"/>
      <c r="G49" s="2310"/>
      <c r="H49" s="2321"/>
      <c r="I49" s="2432"/>
      <c r="J49" s="2432"/>
    </row>
    <row r="50" spans="1:47" ht="26.4">
      <c r="A50" s="2317" t="s">
        <v>515</v>
      </c>
      <c r="B50" s="2312" t="s">
        <v>516</v>
      </c>
      <c r="C50" s="2310"/>
      <c r="D50" s="2321"/>
      <c r="E50" s="2310"/>
      <c r="F50" s="2321"/>
      <c r="G50" s="2310"/>
      <c r="H50" s="2321"/>
      <c r="I50" s="2432"/>
      <c r="J50" s="2432"/>
    </row>
    <row r="51" spans="1:47">
      <c r="A51" s="2323" t="s">
        <v>517</v>
      </c>
      <c r="B51" s="2324" t="s">
        <v>507</v>
      </c>
      <c r="C51" s="2325"/>
      <c r="D51" s="2326"/>
      <c r="E51" s="2325"/>
      <c r="F51" s="2326"/>
      <c r="G51" s="2325"/>
      <c r="H51" s="2326"/>
      <c r="I51" s="2432"/>
      <c r="J51" s="2432"/>
    </row>
    <row r="52" spans="1:47" ht="26.4">
      <c r="A52" s="2317" t="s">
        <v>518</v>
      </c>
      <c r="B52" s="2312" t="s">
        <v>519</v>
      </c>
      <c r="C52" s="2310"/>
      <c r="D52" s="2321"/>
      <c r="E52" s="2310"/>
      <c r="F52" s="2321"/>
      <c r="G52" s="2310"/>
      <c r="H52" s="2321"/>
      <c r="I52" s="2432"/>
      <c r="J52" s="2432"/>
    </row>
    <row r="53" spans="1:47">
      <c r="A53" s="2308"/>
      <c r="B53" s="2312" t="s">
        <v>96</v>
      </c>
      <c r="C53" s="2310"/>
      <c r="D53" s="2321"/>
      <c r="E53" s="2310"/>
      <c r="F53" s="2321"/>
      <c r="G53" s="2310"/>
      <c r="H53" s="2321"/>
      <c r="I53" s="2432"/>
      <c r="J53" s="2432"/>
    </row>
    <row r="54" spans="1:47">
      <c r="A54" s="2308" t="s">
        <v>520</v>
      </c>
      <c r="B54" s="2312" t="s">
        <v>521</v>
      </c>
      <c r="C54" s="2310"/>
      <c r="D54" s="2321"/>
      <c r="E54" s="2310"/>
      <c r="F54" s="2321"/>
      <c r="G54" s="2310"/>
      <c r="H54" s="2321"/>
      <c r="I54" s="2432"/>
      <c r="J54" s="2432"/>
    </row>
    <row r="55" spans="1:47">
      <c r="A55" s="2308" t="s">
        <v>522</v>
      </c>
      <c r="B55" s="2327" t="s">
        <v>523</v>
      </c>
      <c r="C55" s="2310"/>
      <c r="D55" s="2321"/>
      <c r="E55" s="2310"/>
      <c r="F55" s="2321"/>
      <c r="G55" s="2310"/>
      <c r="H55" s="2321"/>
      <c r="I55" s="2432"/>
      <c r="J55" s="2432"/>
    </row>
    <row r="56" spans="1:47">
      <c r="A56" s="2308" t="s">
        <v>524</v>
      </c>
      <c r="B56" s="2327" t="s">
        <v>525</v>
      </c>
      <c r="C56" s="2310"/>
      <c r="D56" s="2321"/>
      <c r="E56" s="2310"/>
      <c r="F56" s="2321"/>
      <c r="G56" s="2310"/>
      <c r="H56" s="2321"/>
      <c r="I56" s="2432"/>
      <c r="J56" s="2432"/>
    </row>
    <row r="57" spans="1:47">
      <c r="A57" s="2308" t="s">
        <v>526</v>
      </c>
      <c r="B57" s="2327" t="s">
        <v>527</v>
      </c>
      <c r="C57" s="2310"/>
      <c r="D57" s="2321"/>
      <c r="E57" s="2310"/>
      <c r="F57" s="2321"/>
      <c r="G57" s="2310"/>
      <c r="H57" s="2321"/>
      <c r="I57" s="2432"/>
      <c r="J57" s="2432"/>
    </row>
    <row r="58" spans="1:47">
      <c r="A58" s="2308" t="s">
        <v>528</v>
      </c>
      <c r="B58" s="2327" t="s">
        <v>529</v>
      </c>
      <c r="C58" s="2310"/>
      <c r="D58" s="2321"/>
      <c r="E58" s="2310"/>
      <c r="F58" s="2321"/>
      <c r="G58" s="2310"/>
      <c r="H58" s="2321"/>
      <c r="I58" s="2432"/>
      <c r="J58" s="2432"/>
    </row>
    <row r="59" spans="1:47" ht="26.4">
      <c r="A59" s="2308" t="s">
        <v>530</v>
      </c>
      <c r="B59" s="2312" t="s">
        <v>531</v>
      </c>
      <c r="C59" s="2310">
        <v>12023.386130000001</v>
      </c>
      <c r="D59" s="2321">
        <v>2.9805483340791383</v>
      </c>
      <c r="E59" s="2310">
        <v>10218.95419</v>
      </c>
      <c r="F59" s="2321">
        <v>2.980628334079138</v>
      </c>
      <c r="G59" s="2310">
        <v>22242.340319999999</v>
      </c>
      <c r="H59" s="2321">
        <v>2.980603334079138</v>
      </c>
      <c r="I59" s="2432"/>
      <c r="J59" s="2432"/>
      <c r="AU59" s="2319">
        <v>11800.612319999998</v>
      </c>
    </row>
    <row r="60" spans="1:47">
      <c r="A60" s="2308"/>
      <c r="B60" s="2312" t="s">
        <v>481</v>
      </c>
      <c r="C60" s="2310"/>
      <c r="D60" s="2321"/>
      <c r="E60" s="2310"/>
      <c r="F60" s="2321"/>
      <c r="G60" s="2310"/>
      <c r="H60" s="2321"/>
      <c r="I60" s="2432"/>
      <c r="J60" s="2432"/>
    </row>
    <row r="61" spans="1:47">
      <c r="A61" s="2308" t="s">
        <v>532</v>
      </c>
      <c r="B61" s="2312" t="s">
        <v>502</v>
      </c>
      <c r="C61" s="2448"/>
      <c r="D61" s="2321"/>
      <c r="E61" s="2448"/>
      <c r="F61" s="2321"/>
      <c r="G61" s="2448"/>
      <c r="H61" s="2321"/>
      <c r="I61" s="2449"/>
      <c r="J61" s="2449"/>
    </row>
    <row r="62" spans="1:47">
      <c r="A62" s="2323" t="s">
        <v>533</v>
      </c>
      <c r="B62" s="2324" t="s">
        <v>484</v>
      </c>
      <c r="C62" s="2325">
        <v>12023.386130000001</v>
      </c>
      <c r="D62" s="2326">
        <v>2.9805483340791383</v>
      </c>
      <c r="E62" s="2325">
        <v>10218.95419</v>
      </c>
      <c r="F62" s="2326">
        <v>2.980628334079138</v>
      </c>
      <c r="G62" s="2325">
        <v>22242.340319999999</v>
      </c>
      <c r="H62" s="2326">
        <v>2.980603334079138</v>
      </c>
      <c r="I62" s="2447"/>
      <c r="J62" s="2447"/>
    </row>
    <row r="63" spans="1:47">
      <c r="A63" s="2308"/>
      <c r="B63" s="2312" t="s">
        <v>481</v>
      </c>
      <c r="C63" s="2310"/>
      <c r="D63" s="2313"/>
      <c r="E63" s="2310"/>
      <c r="F63" s="2321"/>
      <c r="G63" s="2310"/>
      <c r="H63" s="2321"/>
      <c r="I63" s="2432"/>
      <c r="J63" s="2432"/>
      <c r="K63" s="2333" t="s">
        <v>1830</v>
      </c>
      <c r="L63" s="2333">
        <v>3.8559999999999999</v>
      </c>
    </row>
    <row r="64" spans="1:47">
      <c r="A64" s="2308" t="s">
        <v>534</v>
      </c>
      <c r="B64" s="2312" t="s">
        <v>1865</v>
      </c>
      <c r="C64" s="2310">
        <v>12023.386130000001</v>
      </c>
      <c r="D64" s="2321">
        <v>2.9805483340791383</v>
      </c>
      <c r="E64" s="2310">
        <v>10218.95419</v>
      </c>
      <c r="F64" s="2321">
        <v>2.980628334079138</v>
      </c>
      <c r="G64" s="2310">
        <v>22242.340319999999</v>
      </c>
      <c r="H64" s="2321">
        <v>2.980603334079138</v>
      </c>
      <c r="I64" s="2432"/>
      <c r="J64" s="2432"/>
    </row>
    <row r="65" spans="1:50">
      <c r="A65" s="2308" t="s">
        <v>535</v>
      </c>
      <c r="B65" s="2312" t="s">
        <v>507</v>
      </c>
      <c r="C65" s="2310"/>
      <c r="D65" s="2313"/>
      <c r="E65" s="2310"/>
      <c r="F65" s="2313"/>
      <c r="G65" s="2310"/>
      <c r="H65" s="2313"/>
      <c r="I65" s="2432"/>
      <c r="J65" s="2432"/>
      <c r="K65" s="2315">
        <v>-5007.0318340000013</v>
      </c>
      <c r="L65" s="2328">
        <v>-2.8261183340791378</v>
      </c>
      <c r="M65" s="2315">
        <v>-3202.5998940000009</v>
      </c>
      <c r="N65" s="2328">
        <v>-2.8261983340791375</v>
      </c>
      <c r="O65" s="2315">
        <v>255.25168000000485</v>
      </c>
      <c r="P65" s="2328">
        <v>0.87539666592086185</v>
      </c>
    </row>
    <row r="66" spans="1:50">
      <c r="A66" s="2308"/>
      <c r="B66" s="2312" t="s">
        <v>96</v>
      </c>
      <c r="C66" s="2310"/>
      <c r="D66" s="2313"/>
      <c r="E66" s="2310"/>
      <c r="F66" s="2313"/>
      <c r="G66" s="2310"/>
      <c r="H66" s="2313"/>
      <c r="I66" s="2432"/>
      <c r="J66" s="2432"/>
      <c r="K66" s="2315">
        <v>7.0967742067296058E-4</v>
      </c>
      <c r="L66" s="2328">
        <v>-2.2172266893560888E-4</v>
      </c>
      <c r="M66" s="2315">
        <v>6.3440860139962751E-4</v>
      </c>
      <c r="N66" s="2328">
        <v>3.8830107013332338E-5</v>
      </c>
      <c r="O66" s="2315">
        <v>3.4408602368785068E-4</v>
      </c>
      <c r="P66" s="2328">
        <v>-1.4144628096124379E-4</v>
      </c>
    </row>
    <row r="67" spans="1:50">
      <c r="A67" s="2308" t="s">
        <v>536</v>
      </c>
      <c r="B67" s="2312" t="s">
        <v>509</v>
      </c>
      <c r="C67" s="2310">
        <v>359.83699999999999</v>
      </c>
      <c r="D67" s="2313">
        <v>8.8880000000000015E-2</v>
      </c>
      <c r="E67" s="2310">
        <v>290.54199999999997</v>
      </c>
      <c r="F67" s="2313">
        <v>7.9609999999999986E-2</v>
      </c>
      <c r="G67" s="2310">
        <v>650.37899999999991</v>
      </c>
      <c r="H67" s="2455">
        <v>8.4250000000000005E-2</v>
      </c>
      <c r="I67" s="2432"/>
      <c r="J67" s="2432"/>
      <c r="K67" s="2318">
        <v>4048.5711071107103</v>
      </c>
      <c r="L67" s="2439">
        <v>2.9928091480166077E-2</v>
      </c>
      <c r="M67" s="2439" t="s">
        <v>249</v>
      </c>
      <c r="N67" s="2439">
        <v>2.9820016331813699E-2</v>
      </c>
    </row>
    <row r="68" spans="1:50">
      <c r="A68" s="2308" t="s">
        <v>537</v>
      </c>
      <c r="B68" s="2312" t="s">
        <v>511</v>
      </c>
      <c r="C68" s="2310">
        <v>5417.3339999999998</v>
      </c>
      <c r="D68" s="2313">
        <v>1.3387816354946631</v>
      </c>
      <c r="E68" s="2310">
        <v>4374.0149999999994</v>
      </c>
      <c r="F68" s="2313">
        <v>1.1978628310040262</v>
      </c>
      <c r="G68" s="2310">
        <v>9791.3490000000002</v>
      </c>
      <c r="H68" s="2313">
        <v>1.2683222332493447</v>
      </c>
      <c r="I68" s="2432"/>
      <c r="J68" s="2432"/>
      <c r="K68" s="2329">
        <v>7719.9222274258427</v>
      </c>
      <c r="L68" s="2335">
        <v>7719.9222274258427</v>
      </c>
      <c r="M68" s="2439" t="s">
        <v>450</v>
      </c>
    </row>
    <row r="69" spans="1:50">
      <c r="A69" s="2308"/>
      <c r="B69" s="2312" t="s">
        <v>251</v>
      </c>
      <c r="C69" s="2330"/>
      <c r="D69" s="2331"/>
      <c r="E69" s="2330"/>
      <c r="F69" s="2331"/>
      <c r="G69" s="2330"/>
      <c r="H69" s="2331"/>
      <c r="I69" s="2432"/>
      <c r="J69" s="2432"/>
      <c r="K69" s="2329">
        <v>7719.6320474777431</v>
      </c>
      <c r="M69" s="2315"/>
      <c r="N69" s="2450"/>
    </row>
    <row r="70" spans="1:50">
      <c r="A70" s="2308" t="s">
        <v>538</v>
      </c>
      <c r="B70" s="2312" t="s">
        <v>492</v>
      </c>
      <c r="C70" s="2310">
        <v>1783.3490000000002</v>
      </c>
      <c r="D70" s="2313">
        <v>0.43099163549466296</v>
      </c>
      <c r="E70" s="2310">
        <v>981.8739999999998</v>
      </c>
      <c r="F70" s="2313">
        <v>0.28007283100402613</v>
      </c>
      <c r="G70" s="2310">
        <v>2765.223</v>
      </c>
      <c r="H70" s="2313">
        <v>0.35553223324934458</v>
      </c>
      <c r="I70" s="2432"/>
      <c r="J70" s="2432"/>
      <c r="K70" s="2303" t="s">
        <v>1869</v>
      </c>
      <c r="L70" s="2429">
        <v>2900</v>
      </c>
      <c r="M70" s="2429">
        <v>0.39600000000000002</v>
      </c>
      <c r="N70" s="2452">
        <v>7777.6998578372859</v>
      </c>
      <c r="O70" s="2303">
        <v>0.31566472602739726</v>
      </c>
      <c r="AU70" s="2303">
        <v>2765.223</v>
      </c>
      <c r="AV70" s="2303">
        <v>0.35553223324934458</v>
      </c>
    </row>
    <row r="71" spans="1:50">
      <c r="A71" s="2308" t="s">
        <v>539</v>
      </c>
      <c r="B71" s="2312" t="s">
        <v>494</v>
      </c>
      <c r="C71" s="2310">
        <v>3633.9849999999997</v>
      </c>
      <c r="D71" s="2310">
        <v>0.9077900000000001</v>
      </c>
      <c r="E71" s="2310">
        <v>3392.1410000000001</v>
      </c>
      <c r="F71" s="2310">
        <v>0.91779000000000011</v>
      </c>
      <c r="G71" s="2310">
        <v>7026.1260000000002</v>
      </c>
      <c r="H71" s="2313">
        <v>0.9127900000000001</v>
      </c>
      <c r="I71" s="2432"/>
      <c r="J71" s="2432"/>
      <c r="K71" s="2310">
        <v>2765.223</v>
      </c>
      <c r="L71" s="2335">
        <v>7697.4178069435457</v>
      </c>
      <c r="M71" s="2439" t="s">
        <v>450</v>
      </c>
    </row>
    <row r="72" spans="1:50">
      <c r="A72" s="2308"/>
      <c r="B72" s="2312" t="s">
        <v>251</v>
      </c>
      <c r="C72" s="2310"/>
      <c r="D72" s="2313"/>
      <c r="E72" s="2310"/>
      <c r="F72" s="2313"/>
      <c r="G72" s="2310"/>
      <c r="H72" s="2313"/>
      <c r="I72" s="2432"/>
      <c r="J72" s="2432"/>
      <c r="K72" s="2310">
        <v>1783.3489999999999</v>
      </c>
    </row>
    <row r="73" spans="1:50">
      <c r="A73" s="2308" t="s">
        <v>96</v>
      </c>
      <c r="B73" s="2312"/>
      <c r="C73" s="2310"/>
      <c r="D73" s="2313"/>
      <c r="E73" s="2310"/>
      <c r="F73" s="2313"/>
      <c r="G73" s="2310"/>
      <c r="H73" s="2313"/>
      <c r="I73" s="2432"/>
      <c r="J73" s="2432"/>
    </row>
    <row r="74" spans="1:50" hidden="1">
      <c r="A74" s="2308" t="s">
        <v>1716</v>
      </c>
      <c r="B74" s="2312" t="s">
        <v>1539</v>
      </c>
      <c r="C74" s="2310"/>
      <c r="D74" s="2313"/>
      <c r="E74" s="2310"/>
      <c r="F74" s="2313"/>
      <c r="G74" s="2310">
        <v>0</v>
      </c>
      <c r="H74" s="2313">
        <v>0</v>
      </c>
      <c r="I74" s="2432"/>
      <c r="J74" s="2432"/>
      <c r="L74" s="2335" t="e">
        <v>#DIV/0!</v>
      </c>
      <c r="M74" s="2439" t="s">
        <v>450</v>
      </c>
      <c r="N74" s="2451">
        <v>1.06</v>
      </c>
    </row>
    <row r="75" spans="1:50" ht="26.4" hidden="1">
      <c r="A75" s="2317" t="s">
        <v>1717</v>
      </c>
      <c r="B75" s="2312" t="s">
        <v>1718</v>
      </c>
      <c r="C75" s="2310"/>
      <c r="D75" s="2313"/>
      <c r="E75" s="2310"/>
      <c r="F75" s="2313"/>
      <c r="G75" s="2310"/>
      <c r="H75" s="2313"/>
      <c r="I75" s="2432"/>
      <c r="J75" s="2432"/>
    </row>
    <row r="76" spans="1:50">
      <c r="A76" s="2308" t="s">
        <v>1716</v>
      </c>
      <c r="B76" s="2312" t="s">
        <v>746</v>
      </c>
      <c r="C76" s="2310">
        <v>431.55400000000003</v>
      </c>
      <c r="D76" s="2321">
        <v>9.1999999999999998E-2</v>
      </c>
      <c r="E76" s="2310">
        <v>370.214</v>
      </c>
      <c r="F76" s="2321">
        <v>9.1999999999999998E-2</v>
      </c>
      <c r="G76" s="2310">
        <v>801.76800000000003</v>
      </c>
      <c r="H76" s="2321">
        <v>9.1999999999999998E-2</v>
      </c>
      <c r="I76" s="2432"/>
      <c r="J76" s="2432"/>
      <c r="K76" s="2303" t="s">
        <v>1936</v>
      </c>
      <c r="L76" s="2335">
        <v>8714.8695652173919</v>
      </c>
      <c r="M76" s="2439" t="s">
        <v>450</v>
      </c>
      <c r="N76" s="2452"/>
      <c r="AU76" s="2303" t="s">
        <v>1842</v>
      </c>
    </row>
    <row r="77" spans="1:50" ht="26.4">
      <c r="A77" s="2317" t="s">
        <v>1717</v>
      </c>
      <c r="B77" s="2312" t="s">
        <v>1718</v>
      </c>
      <c r="C77" s="2310"/>
      <c r="D77" s="2313"/>
      <c r="E77" s="2310"/>
      <c r="F77" s="2313"/>
      <c r="G77" s="2310"/>
      <c r="H77" s="2313"/>
      <c r="I77" s="2432"/>
      <c r="J77" s="2432"/>
    </row>
    <row r="78" spans="1:50">
      <c r="A78" s="2308" t="s">
        <v>1719</v>
      </c>
      <c r="B78" s="2312" t="s">
        <v>1540</v>
      </c>
      <c r="C78" s="2310">
        <v>389.89800000000002</v>
      </c>
      <c r="D78" s="2321">
        <v>0.09</v>
      </c>
      <c r="E78" s="2310">
        <v>429.9</v>
      </c>
      <c r="F78" s="2321">
        <v>0.1</v>
      </c>
      <c r="G78" s="2310">
        <v>819.798</v>
      </c>
      <c r="H78" s="2321">
        <v>9.5000000000000001E-2</v>
      </c>
      <c r="I78" s="2432"/>
      <c r="J78" s="2432"/>
      <c r="K78" s="2303" t="s">
        <v>1936</v>
      </c>
      <c r="L78" s="2335">
        <v>8629.4526315789481</v>
      </c>
      <c r="M78" s="2439" t="s">
        <v>450</v>
      </c>
      <c r="N78" s="2452"/>
      <c r="AU78" s="2303" t="s">
        <v>1842</v>
      </c>
    </row>
    <row r="79" spans="1:50" ht="26.4">
      <c r="A79" s="2317" t="s">
        <v>1720</v>
      </c>
      <c r="B79" s="2312" t="s">
        <v>1721</v>
      </c>
      <c r="C79" s="2310"/>
      <c r="D79" s="2321"/>
      <c r="E79" s="2310"/>
      <c r="F79" s="2321"/>
      <c r="G79" s="2310"/>
      <c r="H79" s="2321"/>
      <c r="I79" s="2432"/>
      <c r="J79" s="2432"/>
      <c r="AE79" s="2303" t="s">
        <v>450</v>
      </c>
      <c r="AF79" s="2640" t="s">
        <v>1870</v>
      </c>
      <c r="AG79" s="2640"/>
    </row>
    <row r="80" spans="1:50">
      <c r="A80" s="2308" t="s">
        <v>1722</v>
      </c>
      <c r="B80" s="2312" t="s">
        <v>1934</v>
      </c>
      <c r="C80" s="2310">
        <v>2812.5329999999999</v>
      </c>
      <c r="D80" s="2313">
        <v>0.72579000000000005</v>
      </c>
      <c r="E80" s="2310">
        <v>2592.027</v>
      </c>
      <c r="F80" s="2313">
        <v>0.72579000000000005</v>
      </c>
      <c r="G80" s="2310">
        <v>5404.5599999999995</v>
      </c>
      <c r="H80" s="2313">
        <v>0.72579000000000005</v>
      </c>
      <c r="I80" s="2432"/>
      <c r="J80" s="2432"/>
      <c r="K80" s="2303" t="s">
        <v>1936</v>
      </c>
      <c r="L80" s="2335">
        <v>7446.4514528995978</v>
      </c>
      <c r="M80" s="2439" t="s">
        <v>450</v>
      </c>
      <c r="N80" s="2452"/>
      <c r="AE80" s="2303">
        <v>7446.4514528995978</v>
      </c>
      <c r="AF80" s="2310">
        <v>4584.5169999999998</v>
      </c>
      <c r="AG80" s="2313">
        <v>2.4138000000000002</v>
      </c>
      <c r="AH80" s="2310">
        <v>4490.643</v>
      </c>
      <c r="AI80" s="2313">
        <v>2.40002</v>
      </c>
      <c r="AJ80" s="2310">
        <v>9075.16</v>
      </c>
      <c r="AK80" s="2313">
        <v>2.4069099999999999</v>
      </c>
      <c r="AU80" s="2303">
        <v>3127.44</v>
      </c>
      <c r="AV80" s="2303" t="s">
        <v>1935</v>
      </c>
      <c r="AW80" s="2318">
        <v>7446.4514528995978</v>
      </c>
      <c r="AX80" s="2303">
        <v>0.41999065189395629</v>
      </c>
    </row>
    <row r="81" spans="1:47" ht="26.4">
      <c r="A81" s="2317" t="s">
        <v>1723</v>
      </c>
      <c r="B81" s="2312" t="s">
        <v>1724</v>
      </c>
      <c r="C81" s="2310"/>
      <c r="D81" s="2321"/>
      <c r="E81" s="2310"/>
      <c r="F81" s="2321"/>
      <c r="G81" s="2310"/>
      <c r="H81" s="2321"/>
      <c r="I81" s="2432"/>
      <c r="J81" s="2432"/>
      <c r="AF81" s="2640" t="s">
        <v>1871</v>
      </c>
      <c r="AG81" s="2640"/>
    </row>
    <row r="82" spans="1:47">
      <c r="A82" s="2308"/>
      <c r="B82" s="2312" t="s">
        <v>96</v>
      </c>
      <c r="C82" s="2310"/>
      <c r="D82" s="2321"/>
      <c r="E82" s="2310"/>
      <c r="F82" s="2321"/>
      <c r="G82" s="2310"/>
      <c r="H82" s="2321"/>
      <c r="I82" s="2432"/>
      <c r="J82" s="2432"/>
      <c r="AF82" s="2310">
        <v>4754.4759999999997</v>
      </c>
      <c r="AG82" s="2313">
        <v>1.2769839616149667</v>
      </c>
      <c r="AH82" s="2310">
        <v>4320.6840000000002</v>
      </c>
      <c r="AI82" s="2313">
        <v>1.1604736612838937</v>
      </c>
      <c r="AJ82" s="2310">
        <v>9075.16</v>
      </c>
      <c r="AK82" s="2313">
        <v>1.2187288114494303</v>
      </c>
    </row>
    <row r="83" spans="1:47">
      <c r="A83" s="2308" t="s">
        <v>544</v>
      </c>
      <c r="B83" s="2312" t="s">
        <v>545</v>
      </c>
      <c r="C83" s="2310">
        <v>6246.2151300000005</v>
      </c>
      <c r="D83" s="2313">
        <v>1.5528866985844749</v>
      </c>
      <c r="E83" s="2310">
        <v>5554.3971899999997</v>
      </c>
      <c r="F83" s="2311">
        <v>1.7031555030751115</v>
      </c>
      <c r="G83" s="2310">
        <v>11800.61232</v>
      </c>
      <c r="H83" s="2311">
        <v>1.6280311008297932</v>
      </c>
      <c r="I83" s="2432"/>
      <c r="J83" s="2432"/>
      <c r="AU83" s="2319">
        <v>466.72132000000056</v>
      </c>
    </row>
    <row r="84" spans="1:47">
      <c r="A84" s="2308" t="s">
        <v>546</v>
      </c>
      <c r="B84" s="2327" t="s">
        <v>525</v>
      </c>
      <c r="C84" s="2310"/>
      <c r="D84" s="2313"/>
      <c r="E84" s="2310"/>
      <c r="F84" s="2311"/>
      <c r="G84" s="2310"/>
      <c r="H84" s="2311"/>
      <c r="I84" s="2432"/>
      <c r="J84" s="2432"/>
    </row>
    <row r="85" spans="1:47">
      <c r="A85" s="2308" t="s">
        <v>547</v>
      </c>
      <c r="B85" s="2327" t="s">
        <v>527</v>
      </c>
      <c r="C85" s="2310">
        <v>6246.2151300000005</v>
      </c>
      <c r="D85" s="2313">
        <v>1.5528866985844749</v>
      </c>
      <c r="E85" s="2310">
        <v>5554.3971899999997</v>
      </c>
      <c r="F85" s="2311">
        <v>1.7031555030751115</v>
      </c>
      <c r="G85" s="2310">
        <v>11800.61232</v>
      </c>
      <c r="H85" s="2311">
        <v>1.6280311008297932</v>
      </c>
      <c r="I85" s="2432"/>
      <c r="J85" s="2432"/>
      <c r="L85" s="2453"/>
      <c r="M85" s="2315"/>
    </row>
    <row r="86" spans="1:47">
      <c r="A86" s="2308" t="s">
        <v>548</v>
      </c>
      <c r="B86" s="2327" t="s">
        <v>529</v>
      </c>
      <c r="C86" s="2310"/>
      <c r="D86" s="2313"/>
      <c r="E86" s="2310"/>
      <c r="F86" s="2311"/>
      <c r="G86" s="2310"/>
      <c r="H86" s="2311"/>
      <c r="I86" s="2432"/>
      <c r="J86" s="2432"/>
      <c r="AU86" s="2319">
        <v>432.48232000000053</v>
      </c>
    </row>
    <row r="87" spans="1:47">
      <c r="A87" s="2308" t="s">
        <v>549</v>
      </c>
      <c r="B87" s="2312" t="s">
        <v>550</v>
      </c>
      <c r="C87" s="2310">
        <v>255.11199999999999</v>
      </c>
      <c r="D87" s="2313">
        <v>5.8880000000000002E-2</v>
      </c>
      <c r="E87" s="2310">
        <v>221.642</v>
      </c>
      <c r="F87" s="2311">
        <v>5.015E-2</v>
      </c>
      <c r="G87" s="2310">
        <v>476.75400000000002</v>
      </c>
      <c r="H87" s="2311">
        <v>5.4515000000000001E-2</v>
      </c>
      <c r="I87" s="2432"/>
      <c r="J87" s="2432"/>
    </row>
    <row r="88" spans="1:47">
      <c r="A88" s="2308"/>
      <c r="B88" s="2312" t="s">
        <v>481</v>
      </c>
      <c r="C88" s="2310"/>
      <c r="D88" s="2313"/>
      <c r="E88" s="2310"/>
      <c r="F88" s="2321"/>
      <c r="G88" s="2310"/>
      <c r="H88" s="2321"/>
      <c r="I88" s="2432"/>
      <c r="J88" s="2432"/>
    </row>
    <row r="89" spans="1:47">
      <c r="A89" s="2308" t="s">
        <v>551</v>
      </c>
      <c r="B89" s="2312" t="s">
        <v>502</v>
      </c>
      <c r="C89" s="2310"/>
      <c r="D89" s="2321"/>
      <c r="E89" s="2310"/>
      <c r="F89" s="2321"/>
      <c r="G89" s="2310"/>
      <c r="H89" s="2321"/>
      <c r="I89" s="2432"/>
      <c r="J89" s="2432"/>
    </row>
    <row r="90" spans="1:47">
      <c r="A90" s="2308" t="s">
        <v>552</v>
      </c>
      <c r="B90" s="2312" t="s">
        <v>484</v>
      </c>
      <c r="C90" s="2310">
        <v>255.11199999999999</v>
      </c>
      <c r="D90" s="2311">
        <v>5.8880000000000002E-2</v>
      </c>
      <c r="E90" s="2310">
        <v>221.642</v>
      </c>
      <c r="F90" s="2311">
        <v>5.015E-2</v>
      </c>
      <c r="G90" s="2310">
        <v>476.75400000000002</v>
      </c>
      <c r="H90" s="2311">
        <v>5.4515000000000001E-2</v>
      </c>
      <c r="I90" s="2432"/>
      <c r="J90" s="2432"/>
    </row>
    <row r="91" spans="1:47">
      <c r="A91" s="2308"/>
      <c r="B91" s="2312" t="s">
        <v>553</v>
      </c>
      <c r="C91" s="2310"/>
      <c r="D91" s="2321"/>
      <c r="E91" s="2310"/>
      <c r="F91" s="2321"/>
      <c r="G91" s="2310"/>
      <c r="H91" s="2321"/>
      <c r="I91" s="2432"/>
      <c r="J91" s="2432"/>
    </row>
    <row r="92" spans="1:47">
      <c r="A92" s="2308" t="s">
        <v>555</v>
      </c>
      <c r="B92" s="2312" t="s">
        <v>1866</v>
      </c>
      <c r="C92" s="2310">
        <v>255.11199999999999</v>
      </c>
      <c r="D92" s="2313">
        <v>5.8880000000000002E-2</v>
      </c>
      <c r="E92" s="2310">
        <v>221.642</v>
      </c>
      <c r="F92" s="2313">
        <v>5.015E-2</v>
      </c>
      <c r="G92" s="2310">
        <v>476.75400000000002</v>
      </c>
      <c r="H92" s="2313">
        <v>5.4515000000000001E-2</v>
      </c>
      <c r="I92" s="2432"/>
      <c r="J92" s="2432"/>
      <c r="K92" s="2303" t="s">
        <v>1936</v>
      </c>
      <c r="L92" s="2332">
        <v>8745.3728331651837</v>
      </c>
      <c r="X92" s="2333" t="s">
        <v>1541</v>
      </c>
      <c r="Y92" s="2333"/>
      <c r="AU92" s="2303" t="s">
        <v>1936</v>
      </c>
    </row>
    <row r="93" spans="1:47">
      <c r="A93" s="2308"/>
      <c r="B93" s="2312" t="s">
        <v>1725</v>
      </c>
      <c r="C93" s="2310"/>
      <c r="D93" s="2321"/>
      <c r="E93" s="2310"/>
      <c r="F93" s="2321"/>
      <c r="G93" s="2310"/>
      <c r="H93" s="2321"/>
      <c r="I93" s="2432"/>
      <c r="J93" s="2432"/>
    </row>
    <row r="94" spans="1:47">
      <c r="A94" s="2308" t="s">
        <v>96</v>
      </c>
      <c r="B94" s="2312" t="s">
        <v>96</v>
      </c>
      <c r="C94" s="2310"/>
      <c r="D94" s="2321"/>
      <c r="E94" s="2310"/>
      <c r="F94" s="2321"/>
      <c r="G94" s="2310"/>
      <c r="H94" s="2321"/>
      <c r="I94" s="2432"/>
      <c r="J94" s="2432"/>
    </row>
    <row r="95" spans="1:47">
      <c r="A95" s="2308" t="s">
        <v>556</v>
      </c>
      <c r="B95" s="2312" t="s">
        <v>509</v>
      </c>
      <c r="C95" s="2310"/>
      <c r="D95" s="2321"/>
      <c r="E95" s="2310"/>
      <c r="F95" s="2321"/>
      <c r="G95" s="2310"/>
      <c r="H95" s="2321"/>
      <c r="I95" s="2432"/>
      <c r="J95" s="2432"/>
    </row>
    <row r="96" spans="1:47">
      <c r="A96" s="2308" t="s">
        <v>557</v>
      </c>
      <c r="B96" s="2312" t="s">
        <v>511</v>
      </c>
      <c r="C96" s="2310"/>
      <c r="D96" s="2321"/>
      <c r="E96" s="2310"/>
      <c r="F96" s="2321"/>
      <c r="G96" s="2310"/>
      <c r="H96" s="2321"/>
      <c r="I96" s="2432"/>
      <c r="J96" s="2432"/>
    </row>
    <row r="97" spans="1:16">
      <c r="A97" s="2308"/>
      <c r="B97" s="2312" t="s">
        <v>251</v>
      </c>
      <c r="C97" s="2310"/>
      <c r="D97" s="2321"/>
      <c r="E97" s="2310"/>
      <c r="F97" s="2321"/>
      <c r="G97" s="2310"/>
      <c r="H97" s="2321"/>
      <c r="I97" s="2432"/>
      <c r="J97" s="2432"/>
    </row>
    <row r="98" spans="1:16">
      <c r="A98" s="2308" t="s">
        <v>558</v>
      </c>
      <c r="B98" s="2312" t="s">
        <v>492</v>
      </c>
      <c r="C98" s="2310"/>
      <c r="D98" s="2321"/>
      <c r="E98" s="2310"/>
      <c r="F98" s="2321"/>
      <c r="G98" s="2310"/>
      <c r="H98" s="2321"/>
      <c r="I98" s="2432"/>
      <c r="J98" s="2432"/>
    </row>
    <row r="99" spans="1:16">
      <c r="A99" s="2308" t="s">
        <v>559</v>
      </c>
      <c r="B99" s="2312" t="s">
        <v>494</v>
      </c>
      <c r="C99" s="2310"/>
      <c r="D99" s="2321"/>
      <c r="E99" s="2310"/>
      <c r="F99" s="2321"/>
      <c r="G99" s="2310"/>
      <c r="H99" s="2321"/>
      <c r="I99" s="2432"/>
      <c r="J99" s="2432"/>
    </row>
    <row r="100" spans="1:16">
      <c r="A100" s="2308"/>
      <c r="B100" s="2312" t="s">
        <v>251</v>
      </c>
      <c r="C100" s="2310"/>
      <c r="D100" s="2321"/>
      <c r="E100" s="2310"/>
      <c r="F100" s="2321"/>
      <c r="G100" s="2310"/>
      <c r="H100" s="2321"/>
      <c r="I100" s="2432"/>
      <c r="J100" s="2432"/>
    </row>
    <row r="101" spans="1:16">
      <c r="A101" s="2308" t="s">
        <v>560</v>
      </c>
      <c r="B101" s="2312" t="s">
        <v>505</v>
      </c>
      <c r="C101" s="2310"/>
      <c r="D101" s="2321"/>
      <c r="E101" s="2310"/>
      <c r="F101" s="2321"/>
      <c r="G101" s="2310"/>
      <c r="H101" s="2321"/>
      <c r="I101" s="2432"/>
      <c r="J101" s="2432"/>
    </row>
    <row r="102" spans="1:16" ht="26.4">
      <c r="A102" s="2317" t="s">
        <v>561</v>
      </c>
      <c r="B102" s="2312" t="s">
        <v>562</v>
      </c>
      <c r="C102" s="2310"/>
      <c r="D102" s="2321"/>
      <c r="E102" s="2310"/>
      <c r="F102" s="2321"/>
      <c r="G102" s="2310"/>
      <c r="H102" s="2321"/>
      <c r="I102" s="2432"/>
      <c r="J102" s="2432"/>
    </row>
    <row r="103" spans="1:16">
      <c r="A103" s="2308" t="s">
        <v>563</v>
      </c>
      <c r="B103" s="2312" t="s">
        <v>507</v>
      </c>
      <c r="C103" s="2310"/>
      <c r="D103" s="2321"/>
      <c r="E103" s="2310"/>
      <c r="F103" s="2321"/>
      <c r="G103" s="2310"/>
      <c r="H103" s="2321"/>
      <c r="I103" s="2432"/>
      <c r="J103" s="2432"/>
    </row>
    <row r="104" spans="1:16" ht="26.4">
      <c r="A104" s="2317" t="s">
        <v>564</v>
      </c>
      <c r="B104" s="2312" t="s">
        <v>565</v>
      </c>
      <c r="C104" s="2310"/>
      <c r="D104" s="2321"/>
      <c r="E104" s="2310"/>
      <c r="F104" s="2321"/>
      <c r="G104" s="2310"/>
      <c r="H104" s="2321"/>
      <c r="I104" s="2432"/>
      <c r="J104" s="2432"/>
    </row>
    <row r="105" spans="1:16">
      <c r="A105" s="2308"/>
      <c r="B105" s="2312" t="s">
        <v>96</v>
      </c>
      <c r="C105" s="2310"/>
      <c r="D105" s="2321"/>
      <c r="E105" s="2310"/>
      <c r="F105" s="2321"/>
      <c r="G105" s="2310"/>
      <c r="H105" s="2321"/>
      <c r="I105" s="2432"/>
      <c r="J105" s="2432"/>
    </row>
    <row r="106" spans="1:16">
      <c r="A106" s="2308" t="s">
        <v>566</v>
      </c>
      <c r="B106" s="2312" t="s">
        <v>567</v>
      </c>
      <c r="C106" s="2310"/>
      <c r="D106" s="2321"/>
      <c r="E106" s="2310"/>
      <c r="F106" s="2321"/>
      <c r="G106" s="2310"/>
      <c r="H106" s="2321"/>
      <c r="I106" s="2432"/>
      <c r="J106" s="2432"/>
    </row>
    <row r="107" spans="1:16">
      <c r="A107" s="2308" t="s">
        <v>568</v>
      </c>
      <c r="B107" s="2327" t="s">
        <v>527</v>
      </c>
      <c r="C107" s="2310">
        <v>255.11199999999999</v>
      </c>
      <c r="D107" s="2311">
        <v>5.8880000000000002E-2</v>
      </c>
      <c r="E107" s="2310">
        <v>221.642</v>
      </c>
      <c r="F107" s="2311">
        <v>5.015E-2</v>
      </c>
      <c r="G107" s="2310">
        <v>476.75400000000002</v>
      </c>
      <c r="H107" s="2311">
        <v>5.4515000000000001E-2</v>
      </c>
      <c r="I107" s="2432"/>
      <c r="J107" s="2432"/>
      <c r="L107" s="2335">
        <v>8745.3728331651837</v>
      </c>
    </row>
    <row r="108" spans="1:16">
      <c r="A108" s="2308" t="s">
        <v>569</v>
      </c>
      <c r="B108" s="2327" t="s">
        <v>529</v>
      </c>
      <c r="C108" s="2310"/>
      <c r="D108" s="2321"/>
      <c r="E108" s="2310"/>
      <c r="F108" s="2321"/>
      <c r="G108" s="2310"/>
      <c r="H108" s="2321"/>
      <c r="I108" s="2432"/>
      <c r="J108" s="2432"/>
    </row>
    <row r="109" spans="1:16">
      <c r="A109" s="2308" t="s">
        <v>570</v>
      </c>
      <c r="B109" s="2312" t="s">
        <v>571</v>
      </c>
      <c r="C109" s="2310">
        <v>6539.0571300000001</v>
      </c>
      <c r="D109" s="2313">
        <v>1.6167666985844749</v>
      </c>
      <c r="E109" s="2310">
        <v>5813.7691899999991</v>
      </c>
      <c r="F109" s="2313">
        <v>1.7583055030751114</v>
      </c>
      <c r="G109" s="2310">
        <v>12352.82632</v>
      </c>
      <c r="H109" s="2313">
        <v>1.6875461008297932</v>
      </c>
      <c r="I109" s="2432"/>
      <c r="J109" s="2432"/>
      <c r="K109" s="2303" t="s">
        <v>348</v>
      </c>
      <c r="L109" s="2335">
        <v>7319.9933998401111</v>
      </c>
      <c r="M109" s="2424">
        <v>1.611766698584475</v>
      </c>
    </row>
    <row r="110" spans="1:16">
      <c r="A110" s="2308"/>
      <c r="B110" s="2312" t="s">
        <v>481</v>
      </c>
      <c r="C110" s="2310"/>
      <c r="D110" s="2321"/>
      <c r="E110" s="2310"/>
      <c r="F110" s="2321"/>
      <c r="G110" s="2310"/>
      <c r="H110" s="2321"/>
      <c r="I110" s="2432"/>
      <c r="J110" s="2432"/>
      <c r="K110" s="2334">
        <v>6539.0571300000001</v>
      </c>
      <c r="L110" s="2334">
        <v>1.6167666985844749</v>
      </c>
      <c r="M110" s="2334">
        <v>5813.7691899999991</v>
      </c>
      <c r="N110" s="2334">
        <v>1.7583055030751114</v>
      </c>
      <c r="O110" s="2334">
        <v>12352.82632</v>
      </c>
      <c r="P110" s="2334">
        <v>1.6875461008297932</v>
      </c>
    </row>
    <row r="111" spans="1:16">
      <c r="A111" s="2308" t="s">
        <v>572</v>
      </c>
      <c r="B111" s="2312" t="s">
        <v>502</v>
      </c>
      <c r="C111" s="2310"/>
      <c r="D111" s="2321"/>
      <c r="E111" s="2310"/>
      <c r="F111" s="2321"/>
      <c r="G111" s="2310"/>
      <c r="H111" s="2321"/>
      <c r="I111" s="2432"/>
      <c r="J111" s="2432"/>
    </row>
    <row r="112" spans="1:16">
      <c r="A112" s="2308" t="s">
        <v>573</v>
      </c>
      <c r="B112" s="2312" t="s">
        <v>484</v>
      </c>
      <c r="C112" s="2310">
        <v>37.729999999999997</v>
      </c>
      <c r="D112" s="2311">
        <v>5.0000000000000001E-3</v>
      </c>
      <c r="E112" s="2310">
        <v>37.729999999999997</v>
      </c>
      <c r="F112" s="2311">
        <v>5.0000000000000001E-3</v>
      </c>
      <c r="G112" s="2310">
        <v>75.459999999999994</v>
      </c>
      <c r="H112" s="2311">
        <v>5.0000000000000001E-3</v>
      </c>
      <c r="I112" s="2432"/>
      <c r="J112" s="2432"/>
    </row>
    <row r="113" spans="1:49">
      <c r="A113" s="2308"/>
      <c r="B113" s="2312" t="s">
        <v>481</v>
      </c>
      <c r="C113" s="2310"/>
      <c r="D113" s="2321"/>
      <c r="E113" s="2310"/>
      <c r="F113" s="2321"/>
      <c r="G113" s="2310"/>
      <c r="H113" s="2321"/>
      <c r="I113" s="2432"/>
      <c r="J113" s="2432"/>
    </row>
    <row r="114" spans="1:49">
      <c r="A114" s="2308" t="s">
        <v>1726</v>
      </c>
      <c r="B114" s="2312" t="s">
        <v>1867</v>
      </c>
      <c r="C114" s="2310">
        <v>37.729999999999997</v>
      </c>
      <c r="D114" s="2313">
        <v>5.0000000000000001E-3</v>
      </c>
      <c r="E114" s="2310">
        <v>37.729999999999997</v>
      </c>
      <c r="F114" s="2313">
        <v>5.0000000000000001E-3</v>
      </c>
      <c r="G114" s="2310">
        <v>75.459999999999994</v>
      </c>
      <c r="H114" s="2313">
        <v>5.0000000000000001E-3</v>
      </c>
      <c r="I114" s="2432"/>
      <c r="J114" s="2432"/>
      <c r="K114" s="2303" t="s">
        <v>1936</v>
      </c>
      <c r="AU114" s="2303" t="s">
        <v>1937</v>
      </c>
    </row>
    <row r="115" spans="1:49" ht="26.4">
      <c r="A115" s="2308" t="s">
        <v>1729</v>
      </c>
      <c r="B115" s="2312" t="s">
        <v>1730</v>
      </c>
      <c r="C115" s="2310"/>
      <c r="D115" s="2455"/>
      <c r="E115" s="2310"/>
      <c r="F115" s="2455"/>
      <c r="G115" s="2310">
        <v>0</v>
      </c>
      <c r="H115" s="2455">
        <v>0</v>
      </c>
      <c r="I115" s="2432"/>
      <c r="J115" s="2432"/>
      <c r="K115" s="2303">
        <v>2.56</v>
      </c>
      <c r="L115" s="2333">
        <v>8.1999999999999998E-4</v>
      </c>
      <c r="M115" s="2303">
        <v>2.66</v>
      </c>
      <c r="N115" s="2303">
        <v>8.1999999999999998E-4</v>
      </c>
      <c r="O115" s="2303">
        <v>5.2200000000000006</v>
      </c>
      <c r="P115" s="2303">
        <v>8.1999999999999998E-4</v>
      </c>
    </row>
    <row r="116" spans="1:49">
      <c r="A116" s="2308"/>
      <c r="B116" s="2312" t="s">
        <v>96</v>
      </c>
      <c r="C116" s="2310"/>
      <c r="D116" s="2321"/>
      <c r="E116" s="2310"/>
      <c r="F116" s="2321"/>
      <c r="G116" s="2310"/>
      <c r="H116" s="2321"/>
      <c r="I116" s="2432"/>
      <c r="J116" s="2432"/>
    </row>
    <row r="117" spans="1:49">
      <c r="A117" s="2308" t="s">
        <v>576</v>
      </c>
      <c r="B117" s="2312" t="s">
        <v>509</v>
      </c>
      <c r="C117" s="2310">
        <v>389.06200000000001</v>
      </c>
      <c r="D117" s="2313">
        <v>9.5549999999999996E-2</v>
      </c>
      <c r="E117" s="2310">
        <v>344.31099999999998</v>
      </c>
      <c r="F117" s="2313">
        <v>0.10428</v>
      </c>
      <c r="G117" s="2310">
        <v>733.37300000000005</v>
      </c>
      <c r="H117" s="2455">
        <v>9.9919999999999995E-2</v>
      </c>
      <c r="I117" s="2432"/>
      <c r="J117" s="2432"/>
      <c r="K117" s="2303">
        <v>7339.6016813450769</v>
      </c>
      <c r="L117" s="2439">
        <v>5.9498180282758897E-2</v>
      </c>
      <c r="M117" s="2439" t="s">
        <v>249</v>
      </c>
      <c r="N117" s="2439">
        <v>5.9099435981491165E-2</v>
      </c>
      <c r="P117" s="2303">
        <v>4071.8158032443748</v>
      </c>
    </row>
    <row r="118" spans="1:49">
      <c r="A118" s="2308" t="s">
        <v>577</v>
      </c>
      <c r="B118" s="2312" t="s">
        <v>511</v>
      </c>
      <c r="C118" s="2310">
        <v>5916.6360000000004</v>
      </c>
      <c r="D118" s="2313">
        <v>1.4530511324200912</v>
      </c>
      <c r="E118" s="2310">
        <v>5236.0959999999995</v>
      </c>
      <c r="F118" s="2313">
        <v>1.5858559169107278</v>
      </c>
      <c r="G118" s="2310">
        <v>11152.732</v>
      </c>
      <c r="H118" s="2313">
        <v>1.5194535246654095</v>
      </c>
      <c r="I118" s="2432"/>
      <c r="J118" s="2432"/>
      <c r="K118" s="2329"/>
      <c r="L118" s="2335">
        <v>7339.9625713829464</v>
      </c>
      <c r="M118" s="2439" t="s">
        <v>450</v>
      </c>
      <c r="N118" s="2315"/>
      <c r="O118" s="2315"/>
    </row>
    <row r="119" spans="1:49">
      <c r="A119" s="2308"/>
      <c r="B119" s="2312" t="s">
        <v>251</v>
      </c>
      <c r="C119" s="2310"/>
      <c r="D119" s="2313"/>
      <c r="E119" s="2310"/>
      <c r="F119" s="2313"/>
      <c r="G119" s="2310"/>
      <c r="H119" s="2313"/>
      <c r="I119" s="2432"/>
      <c r="J119" s="2432"/>
      <c r="K119" s="2424">
        <v>11152.732</v>
      </c>
      <c r="L119" s="2434">
        <v>1.5194535246654095</v>
      </c>
    </row>
    <row r="120" spans="1:49">
      <c r="A120" s="2308" t="s">
        <v>578</v>
      </c>
      <c r="B120" s="2312" t="s">
        <v>492</v>
      </c>
      <c r="C120" s="2310">
        <v>3064.3759999999997</v>
      </c>
      <c r="D120" s="2313">
        <v>0.71701113242009129</v>
      </c>
      <c r="E120" s="2310">
        <v>2607.4569999999999</v>
      </c>
      <c r="F120" s="2313">
        <v>0.84981591691072778</v>
      </c>
      <c r="G120" s="2310">
        <v>5671.8329999999996</v>
      </c>
      <c r="H120" s="2313">
        <v>0.78341352466540948</v>
      </c>
      <c r="I120" s="2432"/>
      <c r="J120" s="2432"/>
      <c r="K120" s="2333">
        <v>5349.6660000000002</v>
      </c>
      <c r="L120" s="2429">
        <v>5982.4030000000002</v>
      </c>
      <c r="M120" s="2429">
        <v>1.3641999999999999</v>
      </c>
      <c r="N120" s="2318">
        <v>7239.8967102621828</v>
      </c>
      <c r="O120" s="2303">
        <v>0.64746952054794515</v>
      </c>
    </row>
    <row r="121" spans="1:49">
      <c r="A121" s="2308" t="s">
        <v>579</v>
      </c>
      <c r="B121" s="2312" t="s">
        <v>494</v>
      </c>
      <c r="C121" s="2310">
        <v>2852.26</v>
      </c>
      <c r="D121" s="2313">
        <v>0.73604000000000003</v>
      </c>
      <c r="E121" s="2310">
        <v>2628.6390000000001</v>
      </c>
      <c r="F121" s="2313">
        <v>0.73604000000000003</v>
      </c>
      <c r="G121" s="2310">
        <v>5480.8990000000003</v>
      </c>
      <c r="H121" s="2313">
        <v>0.73604000000000003</v>
      </c>
      <c r="I121" s="2432"/>
      <c r="J121" s="2432"/>
      <c r="K121" s="2424">
        <v>2.4030000000002474</v>
      </c>
    </row>
    <row r="122" spans="1:49">
      <c r="A122" s="2308"/>
      <c r="B122" s="2312" t="s">
        <v>251</v>
      </c>
      <c r="C122" s="2310"/>
      <c r="D122" s="2321"/>
      <c r="E122" s="2310"/>
      <c r="F122" s="2321"/>
      <c r="G122" s="2310"/>
      <c r="H122" s="2321"/>
      <c r="I122" s="2432"/>
      <c r="J122" s="2432"/>
      <c r="K122" s="2333">
        <v>2.403</v>
      </c>
      <c r="L122" s="2454"/>
    </row>
    <row r="123" spans="1:49" hidden="1">
      <c r="A123" s="2308" t="s">
        <v>750</v>
      </c>
      <c r="B123" s="2312" t="s">
        <v>1539</v>
      </c>
      <c r="C123" s="2310"/>
      <c r="D123" s="2313"/>
      <c r="E123" s="2310"/>
      <c r="F123" s="2313"/>
      <c r="G123" s="2321">
        <v>0</v>
      </c>
      <c r="H123" s="2313">
        <v>0</v>
      </c>
      <c r="I123" s="2432"/>
      <c r="J123" s="2432"/>
      <c r="L123" s="2332" t="e">
        <v>#DIV/0!</v>
      </c>
    </row>
    <row r="124" spans="1:49" ht="26.4" hidden="1">
      <c r="A124" s="2317" t="s">
        <v>751</v>
      </c>
      <c r="B124" s="2312" t="s">
        <v>1727</v>
      </c>
      <c r="C124" s="2310"/>
      <c r="D124" s="2321"/>
      <c r="E124" s="2310"/>
      <c r="F124" s="2321"/>
      <c r="G124" s="2310"/>
      <c r="H124" s="2321"/>
      <c r="I124" s="2432"/>
      <c r="J124" s="2432"/>
      <c r="K124" s="2303">
        <v>2991.2020000000002</v>
      </c>
      <c r="L124" s="2333">
        <v>1.3641999999999999</v>
      </c>
      <c r="M124" s="2303">
        <v>2991.201</v>
      </c>
      <c r="N124" s="2303">
        <v>1.3641999999999999</v>
      </c>
      <c r="O124" s="2303">
        <v>5982.4030000000002</v>
      </c>
      <c r="P124" s="2303">
        <v>1.3641999999999999</v>
      </c>
    </row>
    <row r="125" spans="1:49" hidden="1">
      <c r="A125" s="2308"/>
      <c r="B125" s="2312" t="s">
        <v>96</v>
      </c>
      <c r="C125" s="2310"/>
      <c r="D125" s="2321"/>
      <c r="E125" s="2310"/>
      <c r="F125" s="2321"/>
      <c r="G125" s="2310"/>
      <c r="H125" s="2321"/>
      <c r="I125" s="2432"/>
      <c r="J125" s="2432"/>
      <c r="O125" s="2303">
        <v>5983.280334</v>
      </c>
      <c r="P125" s="2328">
        <v>1.3642007225887527</v>
      </c>
      <c r="AF125" s="2640" t="s">
        <v>1870</v>
      </c>
      <c r="AG125" s="2640"/>
    </row>
    <row r="126" spans="1:49">
      <c r="A126" s="2308" t="s">
        <v>1872</v>
      </c>
      <c r="B126" s="2312" t="s">
        <v>1934</v>
      </c>
      <c r="C126" s="2310">
        <v>2852.26</v>
      </c>
      <c r="D126" s="2313">
        <v>0.73604000000000003</v>
      </c>
      <c r="E126" s="2310">
        <v>2628.6390000000001</v>
      </c>
      <c r="F126" s="2313">
        <v>0.73604000000000003</v>
      </c>
      <c r="G126" s="2310">
        <v>5480.8990000000003</v>
      </c>
      <c r="H126" s="2313">
        <v>0.73604000000000003</v>
      </c>
      <c r="I126" s="2432"/>
      <c r="J126" s="2432"/>
      <c r="K126" s="2318">
        <v>7446.4689419053311</v>
      </c>
      <c r="L126" s="2335" t="s">
        <v>1936</v>
      </c>
      <c r="M126" s="2303">
        <v>5671.8329999999996</v>
      </c>
      <c r="AF126" s="2640">
        <v>394.80799999999999</v>
      </c>
      <c r="AG126" s="2641">
        <v>9.5310000000000006E-2</v>
      </c>
      <c r="AH126" s="2640">
        <v>377.94600000000003</v>
      </c>
      <c r="AI126" s="2641">
        <v>9.5310000000000006E-2</v>
      </c>
      <c r="AJ126" s="2640">
        <v>772.75400000000002</v>
      </c>
      <c r="AK126" s="2641">
        <v>9.5310000000000006E-2</v>
      </c>
      <c r="AU126" s="2303">
        <v>1068.136</v>
      </c>
      <c r="AV126" s="2318">
        <v>7446.4689419053311</v>
      </c>
      <c r="AW126" s="2303">
        <v>0.14344194655657766</v>
      </c>
    </row>
    <row r="127" spans="1:49" ht="26.4">
      <c r="A127" s="2317" t="s">
        <v>1873</v>
      </c>
      <c r="B127" s="2312" t="s">
        <v>1874</v>
      </c>
      <c r="C127" s="2310"/>
      <c r="D127" s="2321"/>
      <c r="E127" s="2310"/>
      <c r="F127" s="2321"/>
      <c r="G127" s="2310"/>
      <c r="H127" s="2321"/>
      <c r="I127" s="2432"/>
      <c r="J127" s="2432"/>
      <c r="AF127" s="2640" t="s">
        <v>1871</v>
      </c>
      <c r="AG127" s="2640"/>
    </row>
    <row r="128" spans="1:49">
      <c r="A128" s="2308"/>
      <c r="B128" s="2312" t="s">
        <v>96</v>
      </c>
      <c r="C128" s="2310"/>
      <c r="D128" s="2321"/>
      <c r="E128" s="2310"/>
      <c r="F128" s="2321"/>
      <c r="G128" s="2310"/>
      <c r="H128" s="2321"/>
      <c r="I128" s="2432"/>
      <c r="J128" s="2432"/>
      <c r="AF128" s="2640">
        <v>446.49400000000003</v>
      </c>
      <c r="AG128" s="2641">
        <v>0.11992187508304029</v>
      </c>
      <c r="AH128" s="2640">
        <v>405.75700000000001</v>
      </c>
      <c r="AI128" s="2641">
        <v>0.10898050201809918</v>
      </c>
      <c r="AJ128" s="2640">
        <v>852.25099999999998</v>
      </c>
      <c r="AK128" s="2641">
        <v>0.11445118855056974</v>
      </c>
    </row>
    <row r="129" spans="1:15">
      <c r="A129" s="2308" t="s">
        <v>584</v>
      </c>
      <c r="B129" s="2312" t="s">
        <v>585</v>
      </c>
      <c r="C129" s="2310">
        <v>233.35912999999999</v>
      </c>
      <c r="D129" s="2313">
        <v>6.8165566164383573E-2</v>
      </c>
      <c r="E129" s="2310">
        <v>233.36219000000003</v>
      </c>
      <c r="F129" s="2313">
        <v>6.816958616438358E-2</v>
      </c>
      <c r="G129" s="2310">
        <v>466.72132000000005</v>
      </c>
      <c r="H129" s="2313">
        <v>6.8172576164383575E-2</v>
      </c>
      <c r="I129" s="2432"/>
      <c r="J129" s="2432"/>
    </row>
    <row r="130" spans="1:15">
      <c r="A130" s="2308" t="s">
        <v>586</v>
      </c>
      <c r="B130" s="2327" t="s">
        <v>529</v>
      </c>
      <c r="C130" s="2310">
        <v>233.35912999999999</v>
      </c>
      <c r="D130" s="2567">
        <v>6.8165566164383573E-2</v>
      </c>
      <c r="E130" s="2310">
        <v>233.36219000000003</v>
      </c>
      <c r="F130" s="2567">
        <v>6.816958616438358E-2</v>
      </c>
      <c r="G130" s="2310">
        <v>466.72132000000005</v>
      </c>
      <c r="H130" s="2567">
        <v>6.8172576164383575E-2</v>
      </c>
      <c r="I130" s="2432"/>
      <c r="J130" s="2432"/>
    </row>
    <row r="131" spans="1:15">
      <c r="A131" s="2308" t="s">
        <v>587</v>
      </c>
      <c r="B131" s="2312" t="s">
        <v>588</v>
      </c>
      <c r="C131" s="2310">
        <v>262.05912999999998</v>
      </c>
      <c r="D131" s="2313">
        <v>7.7732232831050241E-2</v>
      </c>
      <c r="E131" s="2310">
        <v>261.46219000000002</v>
      </c>
      <c r="F131" s="2313">
        <v>7.7536252831050242E-2</v>
      </c>
      <c r="G131" s="2310">
        <v>523.52132000000006</v>
      </c>
      <c r="H131" s="2313">
        <v>7.763924283105024E-2</v>
      </c>
      <c r="I131" s="2432"/>
      <c r="J131" s="2432"/>
      <c r="N131" s="2315"/>
      <c r="O131" s="2315"/>
    </row>
    <row r="132" spans="1:15">
      <c r="A132" s="2308"/>
      <c r="B132" s="2312" t="s">
        <v>481</v>
      </c>
      <c r="C132" s="2310"/>
      <c r="D132" s="2321"/>
      <c r="E132" s="2310"/>
      <c r="F132" s="2321"/>
      <c r="G132" s="2310"/>
      <c r="H132" s="2321"/>
      <c r="I132" s="2432"/>
      <c r="J132" s="2432"/>
      <c r="K132" s="2303" t="s">
        <v>280</v>
      </c>
      <c r="L132" s="2434">
        <v>6.8165566164383629E-2</v>
      </c>
      <c r="N132" s="2315"/>
      <c r="O132" s="2315"/>
    </row>
    <row r="133" spans="1:15">
      <c r="A133" s="2308" t="s">
        <v>589</v>
      </c>
      <c r="B133" s="2312" t="s">
        <v>502</v>
      </c>
      <c r="C133" s="2310"/>
      <c r="D133" s="2321"/>
      <c r="E133" s="2310"/>
      <c r="F133" s="2321"/>
      <c r="G133" s="2310"/>
      <c r="H133" s="2321"/>
      <c r="I133" s="2432"/>
      <c r="J133" s="2432"/>
      <c r="K133" s="2333">
        <v>523.52132000000006</v>
      </c>
      <c r="L133" s="2435">
        <v>7.763924283105024E-2</v>
      </c>
    </row>
    <row r="134" spans="1:15">
      <c r="A134" s="2308" t="s">
        <v>590</v>
      </c>
      <c r="B134" s="2312" t="s">
        <v>484</v>
      </c>
      <c r="C134" s="2310">
        <v>28.7</v>
      </c>
      <c r="D134" s="2567">
        <v>9.566666666666666E-3</v>
      </c>
      <c r="E134" s="2310">
        <v>28.1</v>
      </c>
      <c r="F134" s="2567">
        <v>9.3666666666666672E-3</v>
      </c>
      <c r="G134" s="2310">
        <v>56.8</v>
      </c>
      <c r="H134" s="2567">
        <v>9.4666666666666666E-3</v>
      </c>
      <c r="I134" s="2432"/>
      <c r="J134" s="2432"/>
    </row>
    <row r="135" spans="1:15">
      <c r="A135" s="2308"/>
      <c r="B135" s="2312" t="s">
        <v>481</v>
      </c>
      <c r="C135" s="2310"/>
      <c r="D135" s="2321"/>
      <c r="E135" s="2310"/>
      <c r="F135" s="2321"/>
      <c r="G135" s="2310"/>
      <c r="H135" s="2321"/>
      <c r="I135" s="2432"/>
      <c r="J135" s="2432"/>
    </row>
    <row r="136" spans="1:15" ht="26.4">
      <c r="A136" s="2308" t="s">
        <v>591</v>
      </c>
      <c r="B136" s="2312" t="s">
        <v>1730</v>
      </c>
      <c r="C136" s="2310">
        <v>28.7</v>
      </c>
      <c r="D136" s="2320">
        <v>9.566666666666666E-3</v>
      </c>
      <c r="E136" s="2310">
        <v>28.1</v>
      </c>
      <c r="F136" s="2320">
        <v>9.3666666666666672E-3</v>
      </c>
      <c r="G136" s="2310">
        <v>56.8</v>
      </c>
      <c r="H136" s="2313">
        <v>9.4666666666666666E-3</v>
      </c>
      <c r="I136" s="2432"/>
      <c r="J136" s="2432"/>
      <c r="K136" s="2303" t="s">
        <v>1936</v>
      </c>
    </row>
    <row r="137" spans="1:15">
      <c r="A137" s="2308" t="s">
        <v>592</v>
      </c>
      <c r="B137" s="2312" t="s">
        <v>507</v>
      </c>
      <c r="C137" s="2310"/>
      <c r="D137" s="2321"/>
      <c r="E137" s="2310"/>
      <c r="F137" s="2321"/>
      <c r="G137" s="2310"/>
      <c r="H137" s="2321"/>
      <c r="I137" s="2432"/>
      <c r="J137" s="2432"/>
    </row>
    <row r="138" spans="1:15">
      <c r="A138" s="2308"/>
      <c r="B138" s="2312" t="s">
        <v>96</v>
      </c>
      <c r="C138" s="2310"/>
      <c r="D138" s="2321"/>
      <c r="E138" s="2310"/>
      <c r="F138" s="2321"/>
      <c r="G138" s="2310"/>
      <c r="H138" s="2321"/>
      <c r="I138" s="2432"/>
      <c r="J138" s="2432"/>
    </row>
    <row r="139" spans="1:15">
      <c r="A139" s="2308" t="s">
        <v>593</v>
      </c>
      <c r="B139" s="2312" t="s">
        <v>509</v>
      </c>
      <c r="C139" s="2310">
        <v>17.138999999999999</v>
      </c>
      <c r="D139" s="2313">
        <v>5.0800000000000003E-3</v>
      </c>
      <c r="E139" s="2310">
        <v>17.100000000000001</v>
      </c>
      <c r="F139" s="2313">
        <v>5.0699999999999999E-3</v>
      </c>
      <c r="G139" s="2321">
        <v>34.239000000000004</v>
      </c>
      <c r="H139" s="2455">
        <v>5.0800000000000003E-3</v>
      </c>
      <c r="I139" s="2432"/>
      <c r="J139" s="2432"/>
    </row>
    <row r="140" spans="1:15">
      <c r="A140" s="2308" t="s">
        <v>594</v>
      </c>
      <c r="B140" s="2312" t="s">
        <v>511</v>
      </c>
      <c r="C140" s="2310">
        <v>244.92013</v>
      </c>
      <c r="D140" s="2313">
        <v>7.265223283105024E-2</v>
      </c>
      <c r="E140" s="2310">
        <v>244.36219</v>
      </c>
      <c r="F140" s="2313">
        <v>7.2466252831050237E-2</v>
      </c>
      <c r="G140" s="2310">
        <v>489.28232000000003</v>
      </c>
      <c r="H140" s="2313">
        <v>7.2559242831050239E-2</v>
      </c>
      <c r="I140" s="2432"/>
      <c r="J140" s="2432"/>
      <c r="L140" s="2439">
        <v>6.5401270316359519E-2</v>
      </c>
      <c r="M140" s="2439" t="s">
        <v>249</v>
      </c>
      <c r="N140" s="2439">
        <v>6.5352554725158857E-2</v>
      </c>
    </row>
    <row r="141" spans="1:15">
      <c r="A141" s="2308"/>
      <c r="B141" s="2312" t="s">
        <v>251</v>
      </c>
      <c r="C141" s="2310"/>
      <c r="D141" s="2313"/>
      <c r="E141" s="2310"/>
      <c r="F141" s="2313"/>
      <c r="G141" s="2310"/>
      <c r="H141" s="2313"/>
      <c r="I141" s="2432"/>
      <c r="J141" s="2432"/>
      <c r="K141" s="2329"/>
      <c r="L141" s="2335">
        <v>6743.2114904956215</v>
      </c>
      <c r="M141" s="2439" t="s">
        <v>450</v>
      </c>
    </row>
    <row r="142" spans="1:15">
      <c r="A142" s="2308" t="s">
        <v>491</v>
      </c>
      <c r="B142" s="2312" t="s">
        <v>492</v>
      </c>
      <c r="C142" s="2330">
        <v>244.92013</v>
      </c>
      <c r="D142" s="2313">
        <v>7.265223283105024E-2</v>
      </c>
      <c r="E142" s="2330">
        <v>244.36219</v>
      </c>
      <c r="F142" s="2313">
        <v>7.2466252831050237E-2</v>
      </c>
      <c r="G142" s="2321">
        <v>489.28232000000003</v>
      </c>
      <c r="H142" s="2313">
        <v>7.2559242831050239E-2</v>
      </c>
      <c r="I142" s="2432"/>
      <c r="J142" s="2432"/>
      <c r="K142" s="2453">
        <v>489.28132000000005</v>
      </c>
      <c r="L142" s="2426">
        <v>5.6239347126436787E-2</v>
      </c>
      <c r="M142" s="2303">
        <v>8699.9822188547496</v>
      </c>
      <c r="O142" s="2435">
        <v>6.37561894977169E-2</v>
      </c>
    </row>
    <row r="143" spans="1:15">
      <c r="A143" s="2308" t="s">
        <v>493</v>
      </c>
      <c r="B143" s="2312" t="s">
        <v>494</v>
      </c>
      <c r="C143" s="2456">
        <v>0</v>
      </c>
      <c r="D143" s="2456">
        <v>0</v>
      </c>
      <c r="E143" s="2456">
        <v>0</v>
      </c>
      <c r="F143" s="2456">
        <v>0</v>
      </c>
      <c r="G143" s="2456">
        <v>0</v>
      </c>
      <c r="H143" s="2456">
        <v>0</v>
      </c>
      <c r="I143" s="2432"/>
      <c r="J143" s="2432"/>
      <c r="K143" s="2328">
        <v>7.2559242831050239E-2</v>
      </c>
      <c r="L143" s="2424">
        <v>369.57400000000001</v>
      </c>
      <c r="M143" s="2434">
        <v>5.7521224489795922E-2</v>
      </c>
    </row>
    <row r="144" spans="1:15">
      <c r="A144" s="2308"/>
      <c r="B144" s="2312" t="s">
        <v>251</v>
      </c>
      <c r="C144" s="2321"/>
      <c r="D144" s="2321"/>
      <c r="E144" s="2321"/>
      <c r="F144" s="2321"/>
      <c r="G144" s="2321"/>
      <c r="H144" s="2321"/>
      <c r="I144" s="2432"/>
      <c r="J144" s="2432"/>
      <c r="L144" s="2453">
        <v>1.5739999999999554</v>
      </c>
    </row>
    <row r="145" spans="1:16">
      <c r="A145" s="2308" t="s">
        <v>595</v>
      </c>
      <c r="B145" s="2312" t="s">
        <v>505</v>
      </c>
      <c r="C145" s="2321"/>
      <c r="D145" s="2313"/>
      <c r="E145" s="2321"/>
      <c r="F145" s="2313"/>
      <c r="G145" s="2321"/>
      <c r="H145" s="2313"/>
      <c r="I145" s="2432"/>
      <c r="J145" s="2432"/>
      <c r="L145" s="2333">
        <v>1.5740000000000001</v>
      </c>
      <c r="N145" s="2303">
        <v>244.36219</v>
      </c>
    </row>
    <row r="146" spans="1:16" ht="26.4">
      <c r="A146" s="2317" t="s">
        <v>596</v>
      </c>
      <c r="B146" s="2312" t="s">
        <v>597</v>
      </c>
      <c r="C146" s="2321"/>
      <c r="D146" s="2321"/>
      <c r="E146" s="2321"/>
      <c r="F146" s="2321"/>
      <c r="G146" s="2321"/>
      <c r="H146" s="2321"/>
      <c r="I146" s="2432"/>
      <c r="J146" s="2432"/>
      <c r="L146" s="2335" t="e">
        <v>#DIV/0!</v>
      </c>
    </row>
    <row r="147" spans="1:16">
      <c r="A147" s="2308" t="s">
        <v>598</v>
      </c>
      <c r="B147" s="2312" t="s">
        <v>507</v>
      </c>
      <c r="C147" s="2321"/>
      <c r="D147" s="2321"/>
      <c r="E147" s="2321"/>
      <c r="F147" s="2321"/>
      <c r="G147" s="2321"/>
      <c r="H147" s="2321"/>
      <c r="I147" s="2432"/>
      <c r="J147" s="2432"/>
      <c r="K147" s="2303">
        <v>184.78700000000001</v>
      </c>
      <c r="L147" s="2328">
        <v>5.7521224489795922E-2</v>
      </c>
      <c r="M147" s="2303">
        <v>184.78700000000001</v>
      </c>
      <c r="N147" s="2328">
        <v>5.7521224489795922E-2</v>
      </c>
      <c r="O147" s="2303">
        <v>369.57400000000001</v>
      </c>
      <c r="P147" s="2328">
        <v>5.7521224489795922E-2</v>
      </c>
    </row>
    <row r="148" spans="1:16" ht="26.4">
      <c r="A148" s="2317" t="s">
        <v>599</v>
      </c>
      <c r="B148" s="2312" t="s">
        <v>600</v>
      </c>
      <c r="C148" s="2321"/>
      <c r="D148" s="2321"/>
      <c r="E148" s="2321"/>
      <c r="F148" s="2321"/>
      <c r="G148" s="2321"/>
      <c r="H148" s="2321"/>
      <c r="I148" s="2432"/>
      <c r="J148" s="2432"/>
      <c r="L148" s="2303"/>
      <c r="O148" s="2303">
        <v>369.57400000000001</v>
      </c>
      <c r="P148" s="2328">
        <v>5.7447251021049327E-2</v>
      </c>
    </row>
    <row r="149" spans="1:16">
      <c r="A149" s="2308"/>
      <c r="B149" s="2312" t="s">
        <v>96</v>
      </c>
      <c r="C149" s="2321"/>
      <c r="D149" s="2321"/>
      <c r="E149" s="2321"/>
      <c r="F149" s="2321"/>
      <c r="G149" s="2321"/>
      <c r="H149" s="2321"/>
      <c r="I149" s="2432"/>
      <c r="J149" s="2432"/>
    </row>
    <row r="150" spans="1:16">
      <c r="A150" s="2297"/>
      <c r="B150" s="2297"/>
      <c r="C150" s="2298"/>
      <c r="D150" s="2298"/>
      <c r="E150" s="2298"/>
      <c r="F150" s="2298"/>
      <c r="G150" s="2298"/>
      <c r="H150" s="2298"/>
      <c r="I150" s="2457"/>
      <c r="J150" s="2457"/>
    </row>
    <row r="151" spans="1:16" ht="31.5" customHeight="1">
      <c r="A151" s="2336" t="s">
        <v>731</v>
      </c>
      <c r="B151" s="2336"/>
      <c r="C151" s="2298"/>
      <c r="E151" s="2298"/>
      <c r="G151" s="2298"/>
    </row>
    <row r="152" spans="1:16" ht="15.75" customHeight="1">
      <c r="A152" s="2336" t="s">
        <v>1875</v>
      </c>
      <c r="B152" s="2297"/>
      <c r="C152" s="2298"/>
      <c r="D152" s="2794" t="s">
        <v>733</v>
      </c>
      <c r="E152" s="2794"/>
      <c r="F152" s="2794"/>
      <c r="G152" s="2794"/>
      <c r="H152" s="2794"/>
    </row>
    <row r="153" spans="1:16">
      <c r="A153" s="2336"/>
      <c r="B153" s="2297"/>
      <c r="C153" s="2298"/>
      <c r="D153" s="2298"/>
      <c r="E153" s="2298"/>
      <c r="F153" s="2298"/>
      <c r="G153" s="2298"/>
      <c r="H153" s="2298"/>
    </row>
    <row r="154" spans="1:16" ht="15.6">
      <c r="A154" s="2297" t="s">
        <v>234</v>
      </c>
      <c r="B154" s="2297"/>
      <c r="C154" s="2298"/>
      <c r="D154" s="2298"/>
      <c r="E154" s="2298"/>
      <c r="F154" s="2298"/>
      <c r="G154" s="2298"/>
      <c r="H154" s="2298"/>
      <c r="I154" s="2458"/>
      <c r="J154" s="2459"/>
    </row>
    <row r="155" spans="1:16" ht="23.25" customHeight="1">
      <c r="A155" s="2297" t="s">
        <v>1876</v>
      </c>
      <c r="B155" s="2297"/>
      <c r="C155" s="2298"/>
      <c r="D155" s="2298"/>
      <c r="E155" s="2298"/>
      <c r="F155" s="2298"/>
      <c r="G155" s="2298"/>
      <c r="H155" s="2298"/>
      <c r="I155" s="2460"/>
      <c r="J155" s="2459"/>
    </row>
    <row r="156" spans="1:16" ht="15.75" customHeight="1">
      <c r="A156" s="2297"/>
      <c r="B156" s="2297"/>
      <c r="C156" s="2298"/>
      <c r="D156" s="2298"/>
      <c r="E156" s="2298"/>
      <c r="F156" s="2298"/>
      <c r="G156" s="2298"/>
      <c r="H156" s="2298"/>
    </row>
    <row r="157" spans="1:16" ht="32.25" customHeight="1">
      <c r="A157" s="2297" t="s">
        <v>754</v>
      </c>
      <c r="B157" s="2297"/>
      <c r="C157" s="2298"/>
      <c r="D157" s="2298"/>
      <c r="E157" s="2298"/>
      <c r="F157" s="2298"/>
      <c r="G157" s="2298"/>
      <c r="H157" s="2298"/>
      <c r="I157" s="2461"/>
    </row>
    <row r="158" spans="1:16" ht="14.25" customHeight="1">
      <c r="A158" s="2297"/>
      <c r="B158" s="2297"/>
      <c r="C158" s="2298"/>
      <c r="D158" s="2298"/>
      <c r="E158" s="2298"/>
      <c r="F158" s="2298"/>
      <c r="G158" s="2298"/>
      <c r="H158" s="2298"/>
      <c r="I158" s="2461"/>
    </row>
    <row r="159" spans="1:16" ht="30.75" customHeight="1">
      <c r="A159" s="2297" t="s">
        <v>1877</v>
      </c>
      <c r="B159" s="2297"/>
      <c r="C159" s="2298"/>
      <c r="D159" s="2298"/>
      <c r="E159" s="2298"/>
      <c r="F159" s="2298"/>
      <c r="G159" s="2298"/>
      <c r="H159" s="2298"/>
      <c r="I159" s="2461"/>
    </row>
    <row r="160" spans="1:16" ht="45" customHeight="1">
      <c r="A160" s="2297" t="s">
        <v>1878</v>
      </c>
      <c r="B160" s="2297"/>
      <c r="C160" s="2298"/>
      <c r="D160" s="2298"/>
      <c r="E160" s="2298"/>
      <c r="F160" s="2298"/>
      <c r="G160" s="2298"/>
      <c r="H160" s="2298"/>
      <c r="I160" s="2461"/>
    </row>
    <row r="161" spans="1:256" ht="14.25" customHeight="1">
      <c r="A161" s="2297"/>
      <c r="B161" s="2297"/>
      <c r="C161" s="2298"/>
      <c r="D161" s="2298"/>
      <c r="E161" s="2298"/>
      <c r="F161" s="2298"/>
      <c r="G161" s="2298"/>
      <c r="H161" s="2298"/>
      <c r="I161" s="2461"/>
    </row>
    <row r="162" spans="1:256" ht="25.5" customHeight="1">
      <c r="A162" s="2297" t="s">
        <v>755</v>
      </c>
      <c r="B162" s="2297"/>
      <c r="C162" s="2298"/>
      <c r="D162" s="2298"/>
      <c r="E162" s="2298"/>
      <c r="F162" s="2298"/>
      <c r="G162" s="2298"/>
      <c r="H162" s="2298"/>
    </row>
    <row r="163" spans="1:256" ht="18" customHeight="1">
      <c r="A163" s="2297" t="s">
        <v>981</v>
      </c>
      <c r="B163" s="2297"/>
      <c r="C163" s="2298"/>
      <c r="D163" s="2298"/>
      <c r="E163" s="2298"/>
      <c r="F163" s="2298"/>
      <c r="G163" s="2298"/>
      <c r="H163" s="2298"/>
      <c r="I163" s="2337"/>
    </row>
    <row r="164" spans="1:256" ht="14.25" customHeight="1">
      <c r="A164" s="2297"/>
      <c r="B164" s="2297"/>
      <c r="C164" s="2298"/>
      <c r="D164" s="2298"/>
      <c r="E164" s="2298"/>
      <c r="F164" s="2298"/>
      <c r="G164" s="2298"/>
      <c r="H164" s="2298"/>
      <c r="I164" s="2462"/>
      <c r="J164" s="2303"/>
    </row>
    <row r="165" spans="1:256" ht="29.25" customHeight="1">
      <c r="A165" s="2297" t="s">
        <v>1938</v>
      </c>
      <c r="B165" s="2297"/>
      <c r="C165" s="2298"/>
      <c r="D165" s="2298"/>
      <c r="E165" s="2298"/>
      <c r="F165" s="2298"/>
      <c r="G165" s="2298"/>
      <c r="H165" s="2642"/>
      <c r="I165" s="2642"/>
      <c r="J165" s="2642"/>
    </row>
    <row r="166" spans="1:256" ht="13.8">
      <c r="A166" s="2297"/>
      <c r="B166" s="2297"/>
      <c r="C166" s="2298"/>
      <c r="D166" s="2303"/>
      <c r="F166" s="2303"/>
      <c r="H166" s="2303"/>
      <c r="I166" s="2461"/>
    </row>
    <row r="167" spans="1:256" ht="40.5" customHeight="1">
      <c r="A167" s="2297" t="s">
        <v>1879</v>
      </c>
      <c r="B167" s="2297"/>
      <c r="C167" s="2298"/>
      <c r="D167" s="2794"/>
      <c r="E167" s="2794"/>
      <c r="F167" s="2794"/>
      <c r="G167" s="2794"/>
      <c r="H167" s="2794"/>
    </row>
    <row r="168" spans="1:256">
      <c r="A168" s="2297"/>
      <c r="B168" s="2297"/>
      <c r="C168" s="2298"/>
      <c r="D168" s="2298"/>
      <c r="E168" s="2298"/>
      <c r="F168" s="2298"/>
      <c r="G168" s="2298"/>
      <c r="H168" s="2298"/>
    </row>
    <row r="169" spans="1:256">
      <c r="A169" s="2297"/>
      <c r="B169" s="2297"/>
      <c r="C169" s="2298"/>
      <c r="D169" s="2298"/>
      <c r="E169" s="2298"/>
      <c r="F169" s="2298"/>
      <c r="G169" s="2298"/>
      <c r="H169" s="2298"/>
      <c r="AC169" s="2297"/>
      <c r="AD169" s="2297"/>
      <c r="AE169" s="2297"/>
      <c r="AF169" s="2297"/>
      <c r="AG169" s="2297"/>
      <c r="AH169" s="2297"/>
      <c r="AI169" s="2297"/>
      <c r="AJ169" s="2297"/>
      <c r="AK169" s="2297"/>
      <c r="AL169" s="2297"/>
      <c r="AM169" s="2297"/>
      <c r="AN169" s="2297"/>
      <c r="AO169" s="2297"/>
      <c r="AP169" s="2297"/>
      <c r="AQ169" s="2297"/>
      <c r="AR169" s="2297"/>
      <c r="AS169" s="2297"/>
      <c r="AT169" s="2297"/>
      <c r="AU169" s="2297"/>
      <c r="AV169" s="2297"/>
      <c r="AW169" s="2297"/>
      <c r="AX169" s="2297"/>
      <c r="AY169" s="2297"/>
      <c r="AZ169" s="2297"/>
      <c r="BA169" s="2297"/>
      <c r="BB169" s="2297"/>
      <c r="BC169" s="2297"/>
      <c r="BD169" s="2297"/>
      <c r="BE169" s="2297"/>
      <c r="BF169" s="2297"/>
      <c r="BG169" s="2297"/>
      <c r="BH169" s="2297"/>
      <c r="BI169" s="2297"/>
      <c r="BJ169" s="2297"/>
      <c r="BK169" s="2297"/>
      <c r="BL169" s="2297"/>
      <c r="BM169" s="2297"/>
      <c r="BN169" s="2297"/>
      <c r="BO169" s="2297"/>
      <c r="BP169" s="2297"/>
      <c r="BQ169" s="2297"/>
      <c r="BR169" s="2297"/>
      <c r="BS169" s="2297"/>
      <c r="BT169" s="2297"/>
      <c r="BU169" s="2297"/>
      <c r="BV169" s="2297"/>
      <c r="BW169" s="2297"/>
      <c r="BX169" s="2297"/>
      <c r="BY169" s="2297"/>
      <c r="BZ169" s="2297"/>
      <c r="CA169" s="2297"/>
      <c r="CB169" s="2297"/>
      <c r="CC169" s="2297"/>
      <c r="CD169" s="2297"/>
      <c r="CE169" s="2297"/>
      <c r="CF169" s="2297"/>
      <c r="CG169" s="2297"/>
      <c r="CH169" s="2297"/>
      <c r="CI169" s="2297"/>
      <c r="CJ169" s="2297"/>
      <c r="CK169" s="2297"/>
      <c r="CL169" s="2297"/>
      <c r="CM169" s="2297"/>
      <c r="CN169" s="2297"/>
      <c r="CO169" s="2297"/>
      <c r="CP169" s="2297"/>
      <c r="CQ169" s="2297"/>
      <c r="CR169" s="2297"/>
      <c r="CS169" s="2297"/>
      <c r="CT169" s="2297"/>
      <c r="CU169" s="2297"/>
      <c r="CV169" s="2297"/>
      <c r="CW169" s="2297"/>
      <c r="CX169" s="2297"/>
      <c r="CY169" s="2297"/>
      <c r="CZ169" s="2297"/>
      <c r="DA169" s="2297"/>
      <c r="DB169" s="2297"/>
      <c r="DC169" s="2297"/>
      <c r="DD169" s="2297"/>
      <c r="DE169" s="2297"/>
      <c r="DF169" s="2297"/>
      <c r="DG169" s="2297"/>
      <c r="DH169" s="2297"/>
      <c r="DI169" s="2297"/>
      <c r="DJ169" s="2297"/>
      <c r="DK169" s="2297"/>
      <c r="DL169" s="2297"/>
      <c r="DM169" s="2297"/>
      <c r="DN169" s="2297"/>
      <c r="DO169" s="2297"/>
      <c r="DP169" s="2297"/>
      <c r="DQ169" s="2297"/>
      <c r="DR169" s="2297"/>
      <c r="DS169" s="2297"/>
      <c r="DT169" s="2297"/>
      <c r="DU169" s="2297"/>
      <c r="DV169" s="2297"/>
      <c r="DW169" s="2297"/>
      <c r="DX169" s="2297"/>
      <c r="DY169" s="2297"/>
      <c r="DZ169" s="2297"/>
      <c r="EA169" s="2297"/>
      <c r="EB169" s="2297"/>
      <c r="EC169" s="2297"/>
      <c r="ED169" s="2297"/>
      <c r="EE169" s="2297"/>
      <c r="EF169" s="2297"/>
      <c r="EG169" s="2297"/>
      <c r="EH169" s="2297"/>
      <c r="EI169" s="2297"/>
      <c r="EJ169" s="2297"/>
      <c r="EK169" s="2297"/>
      <c r="EL169" s="2297"/>
      <c r="EM169" s="2297"/>
      <c r="EN169" s="2297"/>
      <c r="EO169" s="2297"/>
      <c r="EP169" s="2297"/>
      <c r="EQ169" s="2297"/>
      <c r="ER169" s="2297"/>
      <c r="ES169" s="2297"/>
      <c r="ET169" s="2297"/>
      <c r="EU169" s="2297"/>
      <c r="EV169" s="2297"/>
      <c r="EW169" s="2297"/>
      <c r="EX169" s="2297"/>
      <c r="EY169" s="2297"/>
      <c r="EZ169" s="2297"/>
      <c r="FA169" s="2297"/>
      <c r="FB169" s="2297"/>
      <c r="FC169" s="2297"/>
      <c r="FD169" s="2297"/>
      <c r="FE169" s="2297"/>
      <c r="FF169" s="2297"/>
      <c r="FG169" s="2297"/>
      <c r="FH169" s="2297"/>
      <c r="FI169" s="2297"/>
      <c r="FJ169" s="2297"/>
      <c r="FK169" s="2297"/>
      <c r="FL169" s="2297"/>
      <c r="FM169" s="2297"/>
      <c r="FN169" s="2297"/>
      <c r="FO169" s="2297"/>
      <c r="FP169" s="2297"/>
      <c r="FQ169" s="2297"/>
      <c r="FR169" s="2297"/>
      <c r="FS169" s="2297"/>
      <c r="FT169" s="2297"/>
      <c r="FU169" s="2297"/>
      <c r="FV169" s="2297"/>
      <c r="FW169" s="2297"/>
      <c r="FX169" s="2297"/>
      <c r="FY169" s="2297"/>
      <c r="FZ169" s="2297"/>
      <c r="GA169" s="2297"/>
      <c r="GB169" s="2297"/>
      <c r="GC169" s="2297"/>
      <c r="GD169" s="2297"/>
      <c r="GE169" s="2297"/>
      <c r="GF169" s="2297"/>
      <c r="GG169" s="2297"/>
      <c r="GH169" s="2297"/>
      <c r="GI169" s="2297"/>
      <c r="GJ169" s="2297"/>
      <c r="GK169" s="2297"/>
      <c r="GL169" s="2297"/>
      <c r="GM169" s="2297"/>
      <c r="GN169" s="2297"/>
      <c r="GO169" s="2297"/>
      <c r="GP169" s="2297"/>
      <c r="GQ169" s="2297"/>
      <c r="GR169" s="2297"/>
      <c r="GS169" s="2297"/>
      <c r="GT169" s="2297"/>
      <c r="GU169" s="2297"/>
      <c r="GV169" s="2297"/>
      <c r="GW169" s="2297"/>
      <c r="GX169" s="2297"/>
      <c r="GY169" s="2297"/>
      <c r="GZ169" s="2297"/>
      <c r="HA169" s="2297"/>
      <c r="HB169" s="2297"/>
      <c r="HC169" s="2297"/>
      <c r="HD169" s="2297"/>
      <c r="HE169" s="2297"/>
      <c r="HF169" s="2297"/>
      <c r="HG169" s="2297"/>
      <c r="HH169" s="2297"/>
      <c r="HI169" s="2297"/>
      <c r="HJ169" s="2297"/>
      <c r="HK169" s="2297"/>
      <c r="HL169" s="2297"/>
      <c r="HM169" s="2297"/>
      <c r="HN169" s="2297"/>
      <c r="HO169" s="2297"/>
      <c r="HP169" s="2297"/>
      <c r="HQ169" s="2297"/>
      <c r="HR169" s="2297"/>
      <c r="HS169" s="2297"/>
      <c r="HT169" s="2297"/>
      <c r="HU169" s="2297"/>
      <c r="HV169" s="2297"/>
      <c r="HW169" s="2297"/>
      <c r="HX169" s="2297"/>
      <c r="HY169" s="2297"/>
      <c r="HZ169" s="2297"/>
      <c r="IA169" s="2297"/>
      <c r="IB169" s="2297"/>
      <c r="IC169" s="2297"/>
      <c r="ID169" s="2297"/>
      <c r="IE169" s="2297"/>
      <c r="IF169" s="2297"/>
      <c r="IG169" s="2297"/>
      <c r="IH169" s="2297"/>
      <c r="II169" s="2297"/>
      <c r="IJ169" s="2297"/>
      <c r="IK169" s="2297"/>
      <c r="IL169" s="2297"/>
      <c r="IM169" s="2297"/>
      <c r="IN169" s="2297"/>
      <c r="IO169" s="2297"/>
      <c r="IP169" s="2297"/>
      <c r="IQ169" s="2297"/>
      <c r="IR169" s="2297"/>
      <c r="IS169" s="2297"/>
      <c r="IT169" s="2297"/>
      <c r="IU169" s="2297"/>
      <c r="IV169" s="2297"/>
    </row>
    <row r="170" spans="1:256">
      <c r="A170" s="2297"/>
      <c r="B170" s="2297"/>
      <c r="C170" s="2298"/>
      <c r="D170" s="2298"/>
      <c r="E170" s="2298"/>
      <c r="F170" s="2298"/>
      <c r="G170" s="2298"/>
      <c r="H170" s="2298"/>
      <c r="AC170" s="2297"/>
      <c r="AD170" s="2297"/>
      <c r="AE170" s="2297"/>
      <c r="AF170" s="2297"/>
      <c r="AG170" s="2297"/>
      <c r="AH170" s="2297"/>
      <c r="AI170" s="2297"/>
      <c r="AJ170" s="2297"/>
      <c r="AK170" s="2297"/>
      <c r="AL170" s="2297"/>
      <c r="AM170" s="2297"/>
      <c r="AN170" s="2297"/>
      <c r="AO170" s="2297"/>
      <c r="AP170" s="2297"/>
      <c r="AQ170" s="2297"/>
      <c r="AR170" s="2297"/>
      <c r="AS170" s="2297"/>
      <c r="AT170" s="2297"/>
      <c r="AU170" s="2297"/>
      <c r="AV170" s="2297"/>
      <c r="AW170" s="2297"/>
      <c r="AX170" s="2297"/>
      <c r="AY170" s="2297"/>
      <c r="AZ170" s="2297"/>
      <c r="BA170" s="2297"/>
      <c r="BB170" s="2297"/>
      <c r="BC170" s="2297"/>
      <c r="BD170" s="2297"/>
      <c r="BE170" s="2297"/>
      <c r="BF170" s="2297"/>
      <c r="BG170" s="2297"/>
      <c r="BH170" s="2297"/>
      <c r="BI170" s="2297"/>
      <c r="BJ170" s="2297"/>
      <c r="BK170" s="2297"/>
      <c r="BL170" s="2297"/>
      <c r="BM170" s="2297"/>
      <c r="BN170" s="2297"/>
      <c r="BO170" s="2297"/>
      <c r="BP170" s="2297"/>
      <c r="BQ170" s="2297"/>
      <c r="BR170" s="2297"/>
      <c r="BS170" s="2297"/>
      <c r="BT170" s="2297"/>
      <c r="BU170" s="2297"/>
      <c r="BV170" s="2297"/>
      <c r="BW170" s="2297"/>
      <c r="BX170" s="2297"/>
      <c r="BY170" s="2297"/>
      <c r="BZ170" s="2297"/>
      <c r="CA170" s="2297"/>
      <c r="CB170" s="2297"/>
      <c r="CC170" s="2297"/>
      <c r="CD170" s="2297"/>
      <c r="CE170" s="2297"/>
      <c r="CF170" s="2297"/>
      <c r="CG170" s="2297"/>
      <c r="CH170" s="2297"/>
      <c r="CI170" s="2297"/>
      <c r="CJ170" s="2297"/>
      <c r="CK170" s="2297"/>
      <c r="CL170" s="2297"/>
      <c r="CM170" s="2297"/>
      <c r="CN170" s="2297"/>
      <c r="CO170" s="2297"/>
      <c r="CP170" s="2297"/>
      <c r="CQ170" s="2297"/>
      <c r="CR170" s="2297"/>
      <c r="CS170" s="2297"/>
      <c r="CT170" s="2297"/>
      <c r="CU170" s="2297"/>
      <c r="CV170" s="2297"/>
      <c r="CW170" s="2297"/>
      <c r="CX170" s="2297"/>
      <c r="CY170" s="2297"/>
      <c r="CZ170" s="2297"/>
      <c r="DA170" s="2297"/>
      <c r="DB170" s="2297"/>
      <c r="DC170" s="2297"/>
      <c r="DD170" s="2297"/>
      <c r="DE170" s="2297"/>
      <c r="DF170" s="2297"/>
      <c r="DG170" s="2297"/>
      <c r="DH170" s="2297"/>
      <c r="DI170" s="2297"/>
      <c r="DJ170" s="2297"/>
      <c r="DK170" s="2297"/>
      <c r="DL170" s="2297"/>
      <c r="DM170" s="2297"/>
      <c r="DN170" s="2297"/>
      <c r="DO170" s="2297"/>
      <c r="DP170" s="2297"/>
      <c r="DQ170" s="2297"/>
      <c r="DR170" s="2297"/>
      <c r="DS170" s="2297"/>
      <c r="DT170" s="2297"/>
      <c r="DU170" s="2297"/>
      <c r="DV170" s="2297"/>
      <c r="DW170" s="2297"/>
      <c r="DX170" s="2297"/>
      <c r="DY170" s="2297"/>
      <c r="DZ170" s="2297"/>
      <c r="EA170" s="2297"/>
      <c r="EB170" s="2297"/>
      <c r="EC170" s="2297"/>
      <c r="ED170" s="2297"/>
      <c r="EE170" s="2297"/>
      <c r="EF170" s="2297"/>
      <c r="EG170" s="2297"/>
      <c r="EH170" s="2297"/>
      <c r="EI170" s="2297"/>
      <c r="EJ170" s="2297"/>
      <c r="EK170" s="2297"/>
      <c r="EL170" s="2297"/>
      <c r="EM170" s="2297"/>
      <c r="EN170" s="2297"/>
      <c r="EO170" s="2297"/>
      <c r="EP170" s="2297"/>
      <c r="EQ170" s="2297"/>
      <c r="ER170" s="2297"/>
      <c r="ES170" s="2297"/>
      <c r="ET170" s="2297"/>
      <c r="EU170" s="2297"/>
      <c r="EV170" s="2297"/>
      <c r="EW170" s="2297"/>
      <c r="EX170" s="2297"/>
      <c r="EY170" s="2297"/>
      <c r="EZ170" s="2297"/>
      <c r="FA170" s="2297"/>
      <c r="FB170" s="2297"/>
      <c r="FC170" s="2297"/>
      <c r="FD170" s="2297"/>
      <c r="FE170" s="2297"/>
      <c r="FF170" s="2297"/>
      <c r="FG170" s="2297"/>
      <c r="FH170" s="2297"/>
      <c r="FI170" s="2297"/>
      <c r="FJ170" s="2297"/>
      <c r="FK170" s="2297"/>
      <c r="FL170" s="2297"/>
      <c r="FM170" s="2297"/>
      <c r="FN170" s="2297"/>
      <c r="FO170" s="2297"/>
      <c r="FP170" s="2297"/>
      <c r="FQ170" s="2297"/>
      <c r="FR170" s="2297"/>
      <c r="FS170" s="2297"/>
      <c r="FT170" s="2297"/>
      <c r="FU170" s="2297"/>
      <c r="FV170" s="2297"/>
      <c r="FW170" s="2297"/>
      <c r="FX170" s="2297"/>
      <c r="FY170" s="2297"/>
      <c r="FZ170" s="2297"/>
      <c r="GA170" s="2297"/>
      <c r="GB170" s="2297"/>
      <c r="GC170" s="2297"/>
      <c r="GD170" s="2297"/>
      <c r="GE170" s="2297"/>
      <c r="GF170" s="2297"/>
      <c r="GG170" s="2297"/>
      <c r="GH170" s="2297"/>
      <c r="GI170" s="2297"/>
      <c r="GJ170" s="2297"/>
      <c r="GK170" s="2297"/>
      <c r="GL170" s="2297"/>
      <c r="GM170" s="2297"/>
      <c r="GN170" s="2297"/>
      <c r="GO170" s="2297"/>
      <c r="GP170" s="2297"/>
      <c r="GQ170" s="2297"/>
      <c r="GR170" s="2297"/>
      <c r="GS170" s="2297"/>
      <c r="GT170" s="2297"/>
      <c r="GU170" s="2297"/>
      <c r="GV170" s="2297"/>
      <c r="GW170" s="2297"/>
      <c r="GX170" s="2297"/>
      <c r="GY170" s="2297"/>
      <c r="GZ170" s="2297"/>
      <c r="HA170" s="2297"/>
      <c r="HB170" s="2297"/>
      <c r="HC170" s="2297"/>
      <c r="HD170" s="2297"/>
      <c r="HE170" s="2297"/>
      <c r="HF170" s="2297"/>
      <c r="HG170" s="2297"/>
      <c r="HH170" s="2297"/>
      <c r="HI170" s="2297"/>
      <c r="HJ170" s="2297"/>
      <c r="HK170" s="2297"/>
      <c r="HL170" s="2297"/>
      <c r="HM170" s="2297"/>
      <c r="HN170" s="2297"/>
      <c r="HO170" s="2297"/>
      <c r="HP170" s="2297"/>
      <c r="HQ170" s="2297"/>
      <c r="HR170" s="2297"/>
      <c r="HS170" s="2297"/>
      <c r="HT170" s="2297"/>
      <c r="HU170" s="2297"/>
      <c r="HV170" s="2297"/>
      <c r="HW170" s="2297"/>
      <c r="HX170" s="2297"/>
      <c r="HY170" s="2297"/>
      <c r="HZ170" s="2297"/>
      <c r="IA170" s="2297"/>
      <c r="IB170" s="2297"/>
      <c r="IC170" s="2297"/>
      <c r="ID170" s="2297"/>
      <c r="IE170" s="2297"/>
      <c r="IF170" s="2297"/>
      <c r="IG170" s="2297"/>
      <c r="IH170" s="2297"/>
      <c r="II170" s="2297"/>
      <c r="IJ170" s="2297"/>
      <c r="IK170" s="2297"/>
      <c r="IL170" s="2297"/>
      <c r="IM170" s="2297"/>
      <c r="IN170" s="2297"/>
      <c r="IO170" s="2297"/>
      <c r="IP170" s="2297"/>
      <c r="IQ170" s="2297"/>
      <c r="IR170" s="2297"/>
      <c r="IS170" s="2297"/>
      <c r="IT170" s="2297"/>
      <c r="IU170" s="2297"/>
      <c r="IV170" s="2297"/>
    </row>
    <row r="171" spans="1:256">
      <c r="A171" s="2297"/>
      <c r="B171" s="2297"/>
      <c r="C171" s="2298"/>
      <c r="D171" s="2298"/>
      <c r="E171" s="2298"/>
      <c r="F171" s="2298"/>
      <c r="G171" s="2298"/>
      <c r="H171" s="2298"/>
      <c r="AC171" s="2297"/>
      <c r="AD171" s="2297"/>
      <c r="AE171" s="2297"/>
      <c r="AF171" s="2297"/>
      <c r="AG171" s="2297"/>
      <c r="AH171" s="2297"/>
      <c r="AI171" s="2297"/>
      <c r="AJ171" s="2297"/>
      <c r="AK171" s="2297"/>
      <c r="AL171" s="2297"/>
      <c r="AM171" s="2297"/>
      <c r="AN171" s="2297"/>
      <c r="AO171" s="2297"/>
      <c r="AP171" s="2297"/>
      <c r="AQ171" s="2297"/>
      <c r="AR171" s="2297"/>
      <c r="AS171" s="2297"/>
      <c r="AT171" s="2297"/>
      <c r="AU171" s="2297"/>
      <c r="AV171" s="2297"/>
      <c r="AW171" s="2297"/>
      <c r="AX171" s="2297"/>
      <c r="AY171" s="2297"/>
      <c r="AZ171" s="2297"/>
      <c r="BA171" s="2297"/>
      <c r="BB171" s="2297"/>
      <c r="BC171" s="2297"/>
      <c r="BD171" s="2297"/>
      <c r="BE171" s="2297"/>
      <c r="BF171" s="2297"/>
      <c r="BG171" s="2297"/>
      <c r="BH171" s="2297"/>
      <c r="BI171" s="2297"/>
      <c r="BJ171" s="2297"/>
      <c r="BK171" s="2297"/>
      <c r="BL171" s="2297"/>
      <c r="BM171" s="2297"/>
      <c r="BN171" s="2297"/>
      <c r="BO171" s="2297"/>
      <c r="BP171" s="2297"/>
      <c r="BQ171" s="2297"/>
      <c r="BR171" s="2297"/>
      <c r="BS171" s="2297"/>
      <c r="BT171" s="2297"/>
      <c r="BU171" s="2297"/>
      <c r="BV171" s="2297"/>
      <c r="BW171" s="2297"/>
      <c r="BX171" s="2297"/>
      <c r="BY171" s="2297"/>
      <c r="BZ171" s="2297"/>
      <c r="CA171" s="2297"/>
      <c r="CB171" s="2297"/>
      <c r="CC171" s="2297"/>
      <c r="CD171" s="2297"/>
      <c r="CE171" s="2297"/>
      <c r="CF171" s="2297"/>
      <c r="CG171" s="2297"/>
      <c r="CH171" s="2297"/>
      <c r="CI171" s="2297"/>
      <c r="CJ171" s="2297"/>
      <c r="CK171" s="2297"/>
      <c r="CL171" s="2297"/>
      <c r="CM171" s="2297"/>
      <c r="CN171" s="2297"/>
      <c r="CO171" s="2297"/>
      <c r="CP171" s="2297"/>
      <c r="CQ171" s="2297"/>
      <c r="CR171" s="2297"/>
      <c r="CS171" s="2297"/>
      <c r="CT171" s="2297"/>
      <c r="CU171" s="2297"/>
      <c r="CV171" s="2297"/>
      <c r="CW171" s="2297"/>
      <c r="CX171" s="2297"/>
      <c r="CY171" s="2297"/>
      <c r="CZ171" s="2297"/>
      <c r="DA171" s="2297"/>
      <c r="DB171" s="2297"/>
      <c r="DC171" s="2297"/>
      <c r="DD171" s="2297"/>
      <c r="DE171" s="2297"/>
      <c r="DF171" s="2297"/>
      <c r="DG171" s="2297"/>
      <c r="DH171" s="2297"/>
      <c r="DI171" s="2297"/>
      <c r="DJ171" s="2297"/>
      <c r="DK171" s="2297"/>
      <c r="DL171" s="2297"/>
      <c r="DM171" s="2297"/>
      <c r="DN171" s="2297"/>
      <c r="DO171" s="2297"/>
      <c r="DP171" s="2297"/>
      <c r="DQ171" s="2297"/>
      <c r="DR171" s="2297"/>
      <c r="DS171" s="2297"/>
      <c r="DT171" s="2297"/>
      <c r="DU171" s="2297"/>
      <c r="DV171" s="2297"/>
      <c r="DW171" s="2297"/>
      <c r="DX171" s="2297"/>
      <c r="DY171" s="2297"/>
      <c r="DZ171" s="2297"/>
      <c r="EA171" s="2297"/>
      <c r="EB171" s="2297"/>
      <c r="EC171" s="2297"/>
      <c r="ED171" s="2297"/>
      <c r="EE171" s="2297"/>
      <c r="EF171" s="2297"/>
      <c r="EG171" s="2297"/>
      <c r="EH171" s="2297"/>
      <c r="EI171" s="2297"/>
      <c r="EJ171" s="2297"/>
      <c r="EK171" s="2297"/>
      <c r="EL171" s="2297"/>
      <c r="EM171" s="2297"/>
      <c r="EN171" s="2297"/>
      <c r="EO171" s="2297"/>
      <c r="EP171" s="2297"/>
      <c r="EQ171" s="2297"/>
      <c r="ER171" s="2297"/>
      <c r="ES171" s="2297"/>
      <c r="ET171" s="2297"/>
      <c r="EU171" s="2297"/>
      <c r="EV171" s="2297"/>
      <c r="EW171" s="2297"/>
      <c r="EX171" s="2297"/>
      <c r="EY171" s="2297"/>
      <c r="EZ171" s="2297"/>
      <c r="FA171" s="2297"/>
      <c r="FB171" s="2297"/>
      <c r="FC171" s="2297"/>
      <c r="FD171" s="2297"/>
      <c r="FE171" s="2297"/>
      <c r="FF171" s="2297"/>
      <c r="FG171" s="2297"/>
      <c r="FH171" s="2297"/>
      <c r="FI171" s="2297"/>
      <c r="FJ171" s="2297"/>
      <c r="FK171" s="2297"/>
      <c r="FL171" s="2297"/>
      <c r="FM171" s="2297"/>
      <c r="FN171" s="2297"/>
      <c r="FO171" s="2297"/>
      <c r="FP171" s="2297"/>
      <c r="FQ171" s="2297"/>
      <c r="FR171" s="2297"/>
      <c r="FS171" s="2297"/>
      <c r="FT171" s="2297"/>
      <c r="FU171" s="2297"/>
      <c r="FV171" s="2297"/>
      <c r="FW171" s="2297"/>
      <c r="FX171" s="2297"/>
      <c r="FY171" s="2297"/>
      <c r="FZ171" s="2297"/>
      <c r="GA171" s="2297"/>
      <c r="GB171" s="2297"/>
      <c r="GC171" s="2297"/>
      <c r="GD171" s="2297"/>
      <c r="GE171" s="2297"/>
      <c r="GF171" s="2297"/>
      <c r="GG171" s="2297"/>
      <c r="GH171" s="2297"/>
      <c r="GI171" s="2297"/>
      <c r="GJ171" s="2297"/>
      <c r="GK171" s="2297"/>
      <c r="GL171" s="2297"/>
      <c r="GM171" s="2297"/>
      <c r="GN171" s="2297"/>
      <c r="GO171" s="2297"/>
      <c r="GP171" s="2297"/>
      <c r="GQ171" s="2297"/>
      <c r="GR171" s="2297"/>
      <c r="GS171" s="2297"/>
      <c r="GT171" s="2297"/>
      <c r="GU171" s="2297"/>
      <c r="GV171" s="2297"/>
      <c r="GW171" s="2297"/>
      <c r="GX171" s="2297"/>
      <c r="GY171" s="2297"/>
      <c r="GZ171" s="2297"/>
      <c r="HA171" s="2297"/>
      <c r="HB171" s="2297"/>
      <c r="HC171" s="2297"/>
      <c r="HD171" s="2297"/>
      <c r="HE171" s="2297"/>
      <c r="HF171" s="2297"/>
      <c r="HG171" s="2297"/>
      <c r="HH171" s="2297"/>
      <c r="HI171" s="2297"/>
      <c r="HJ171" s="2297"/>
      <c r="HK171" s="2297"/>
      <c r="HL171" s="2297"/>
      <c r="HM171" s="2297"/>
      <c r="HN171" s="2297"/>
      <c r="HO171" s="2297"/>
      <c r="HP171" s="2297"/>
      <c r="HQ171" s="2297"/>
      <c r="HR171" s="2297"/>
      <c r="HS171" s="2297"/>
      <c r="HT171" s="2297"/>
      <c r="HU171" s="2297"/>
      <c r="HV171" s="2297"/>
      <c r="HW171" s="2297"/>
      <c r="HX171" s="2297"/>
      <c r="HY171" s="2297"/>
      <c r="HZ171" s="2297"/>
      <c r="IA171" s="2297"/>
      <c r="IB171" s="2297"/>
      <c r="IC171" s="2297"/>
      <c r="ID171" s="2297"/>
      <c r="IE171" s="2297"/>
      <c r="IF171" s="2297"/>
      <c r="IG171" s="2297"/>
      <c r="IH171" s="2297"/>
      <c r="II171" s="2297"/>
      <c r="IJ171" s="2297"/>
      <c r="IK171" s="2297"/>
      <c r="IL171" s="2297"/>
      <c r="IM171" s="2297"/>
      <c r="IN171" s="2297"/>
      <c r="IO171" s="2297"/>
      <c r="IP171" s="2297"/>
      <c r="IQ171" s="2297"/>
      <c r="IR171" s="2297"/>
      <c r="IS171" s="2297"/>
      <c r="IT171" s="2297"/>
      <c r="IU171" s="2297"/>
      <c r="IV171" s="2297"/>
    </row>
    <row r="172" spans="1:256">
      <c r="A172" s="2297"/>
      <c r="B172" s="2297"/>
      <c r="C172" s="2298"/>
      <c r="D172" s="2298"/>
      <c r="E172" s="2298"/>
      <c r="F172" s="2298"/>
      <c r="G172" s="2298"/>
      <c r="H172" s="2298"/>
      <c r="AC172" s="2297"/>
      <c r="AD172" s="2297"/>
      <c r="AE172" s="2297"/>
      <c r="AF172" s="2297"/>
      <c r="AG172" s="2297"/>
      <c r="AH172" s="2297"/>
      <c r="AI172" s="2297"/>
      <c r="AJ172" s="2297"/>
      <c r="AK172" s="2297"/>
      <c r="AL172" s="2297"/>
      <c r="AM172" s="2297"/>
      <c r="AN172" s="2297"/>
      <c r="AO172" s="2297"/>
      <c r="AP172" s="2297"/>
      <c r="AQ172" s="2297"/>
      <c r="AR172" s="2297"/>
      <c r="AS172" s="2297"/>
      <c r="AT172" s="2297"/>
      <c r="AU172" s="2297"/>
      <c r="AV172" s="2297"/>
      <c r="AW172" s="2297"/>
      <c r="AX172" s="2297"/>
      <c r="AY172" s="2297"/>
      <c r="AZ172" s="2297"/>
      <c r="BA172" s="2297"/>
      <c r="BB172" s="2297"/>
      <c r="BC172" s="2297"/>
      <c r="BD172" s="2297"/>
      <c r="BE172" s="2297"/>
      <c r="BF172" s="2297"/>
      <c r="BG172" s="2297"/>
      <c r="BH172" s="2297"/>
      <c r="BI172" s="2297"/>
      <c r="BJ172" s="2297"/>
      <c r="BK172" s="2297"/>
      <c r="BL172" s="2297"/>
      <c r="BM172" s="2297"/>
      <c r="BN172" s="2297"/>
      <c r="BO172" s="2297"/>
      <c r="BP172" s="2297"/>
      <c r="BQ172" s="2297"/>
      <c r="BR172" s="2297"/>
      <c r="BS172" s="2297"/>
      <c r="BT172" s="2297"/>
      <c r="BU172" s="2297"/>
      <c r="BV172" s="2297"/>
      <c r="BW172" s="2297"/>
      <c r="BX172" s="2297"/>
      <c r="BY172" s="2297"/>
      <c r="BZ172" s="2297"/>
      <c r="CA172" s="2297"/>
      <c r="CB172" s="2297"/>
      <c r="CC172" s="2297"/>
      <c r="CD172" s="2297"/>
      <c r="CE172" s="2297"/>
      <c r="CF172" s="2297"/>
      <c r="CG172" s="2297"/>
      <c r="CH172" s="2297"/>
      <c r="CI172" s="2297"/>
      <c r="CJ172" s="2297"/>
      <c r="CK172" s="2297"/>
      <c r="CL172" s="2297"/>
      <c r="CM172" s="2297"/>
      <c r="CN172" s="2297"/>
      <c r="CO172" s="2297"/>
      <c r="CP172" s="2297"/>
      <c r="CQ172" s="2297"/>
      <c r="CR172" s="2297"/>
      <c r="CS172" s="2297"/>
      <c r="CT172" s="2297"/>
      <c r="CU172" s="2297"/>
      <c r="CV172" s="2297"/>
      <c r="CW172" s="2297"/>
      <c r="CX172" s="2297"/>
      <c r="CY172" s="2297"/>
      <c r="CZ172" s="2297"/>
      <c r="DA172" s="2297"/>
      <c r="DB172" s="2297"/>
      <c r="DC172" s="2297"/>
      <c r="DD172" s="2297"/>
      <c r="DE172" s="2297"/>
      <c r="DF172" s="2297"/>
      <c r="DG172" s="2297"/>
      <c r="DH172" s="2297"/>
      <c r="DI172" s="2297"/>
      <c r="DJ172" s="2297"/>
      <c r="DK172" s="2297"/>
      <c r="DL172" s="2297"/>
      <c r="DM172" s="2297"/>
      <c r="DN172" s="2297"/>
      <c r="DO172" s="2297"/>
      <c r="DP172" s="2297"/>
      <c r="DQ172" s="2297"/>
      <c r="DR172" s="2297"/>
      <c r="DS172" s="2297"/>
      <c r="DT172" s="2297"/>
      <c r="DU172" s="2297"/>
      <c r="DV172" s="2297"/>
      <c r="DW172" s="2297"/>
      <c r="DX172" s="2297"/>
      <c r="DY172" s="2297"/>
      <c r="DZ172" s="2297"/>
      <c r="EA172" s="2297"/>
      <c r="EB172" s="2297"/>
      <c r="EC172" s="2297"/>
      <c r="ED172" s="2297"/>
      <c r="EE172" s="2297"/>
      <c r="EF172" s="2297"/>
      <c r="EG172" s="2297"/>
      <c r="EH172" s="2297"/>
      <c r="EI172" s="2297"/>
      <c r="EJ172" s="2297"/>
      <c r="EK172" s="2297"/>
      <c r="EL172" s="2297"/>
      <c r="EM172" s="2297"/>
      <c r="EN172" s="2297"/>
      <c r="EO172" s="2297"/>
      <c r="EP172" s="2297"/>
      <c r="EQ172" s="2297"/>
      <c r="ER172" s="2297"/>
      <c r="ES172" s="2297"/>
      <c r="ET172" s="2297"/>
      <c r="EU172" s="2297"/>
      <c r="EV172" s="2297"/>
      <c r="EW172" s="2297"/>
      <c r="EX172" s="2297"/>
      <c r="EY172" s="2297"/>
      <c r="EZ172" s="2297"/>
      <c r="FA172" s="2297"/>
      <c r="FB172" s="2297"/>
      <c r="FC172" s="2297"/>
      <c r="FD172" s="2297"/>
      <c r="FE172" s="2297"/>
      <c r="FF172" s="2297"/>
      <c r="FG172" s="2297"/>
      <c r="FH172" s="2297"/>
      <c r="FI172" s="2297"/>
      <c r="FJ172" s="2297"/>
      <c r="FK172" s="2297"/>
      <c r="FL172" s="2297"/>
      <c r="FM172" s="2297"/>
      <c r="FN172" s="2297"/>
      <c r="FO172" s="2297"/>
      <c r="FP172" s="2297"/>
      <c r="FQ172" s="2297"/>
      <c r="FR172" s="2297"/>
      <c r="FS172" s="2297"/>
      <c r="FT172" s="2297"/>
      <c r="FU172" s="2297"/>
      <c r="FV172" s="2297"/>
      <c r="FW172" s="2297"/>
      <c r="FX172" s="2297"/>
      <c r="FY172" s="2297"/>
      <c r="FZ172" s="2297"/>
      <c r="GA172" s="2297"/>
      <c r="GB172" s="2297"/>
      <c r="GC172" s="2297"/>
      <c r="GD172" s="2297"/>
      <c r="GE172" s="2297"/>
      <c r="GF172" s="2297"/>
      <c r="GG172" s="2297"/>
      <c r="GH172" s="2297"/>
      <c r="GI172" s="2297"/>
      <c r="GJ172" s="2297"/>
      <c r="GK172" s="2297"/>
      <c r="GL172" s="2297"/>
      <c r="GM172" s="2297"/>
      <c r="GN172" s="2297"/>
      <c r="GO172" s="2297"/>
      <c r="GP172" s="2297"/>
      <c r="GQ172" s="2297"/>
      <c r="GR172" s="2297"/>
      <c r="GS172" s="2297"/>
      <c r="GT172" s="2297"/>
      <c r="GU172" s="2297"/>
      <c r="GV172" s="2297"/>
      <c r="GW172" s="2297"/>
      <c r="GX172" s="2297"/>
      <c r="GY172" s="2297"/>
      <c r="GZ172" s="2297"/>
      <c r="HA172" s="2297"/>
      <c r="HB172" s="2297"/>
      <c r="HC172" s="2297"/>
      <c r="HD172" s="2297"/>
      <c r="HE172" s="2297"/>
      <c r="HF172" s="2297"/>
      <c r="HG172" s="2297"/>
      <c r="HH172" s="2297"/>
      <c r="HI172" s="2297"/>
      <c r="HJ172" s="2297"/>
      <c r="HK172" s="2297"/>
      <c r="HL172" s="2297"/>
      <c r="HM172" s="2297"/>
      <c r="HN172" s="2297"/>
      <c r="HO172" s="2297"/>
      <c r="HP172" s="2297"/>
      <c r="HQ172" s="2297"/>
      <c r="HR172" s="2297"/>
      <c r="HS172" s="2297"/>
      <c r="HT172" s="2297"/>
      <c r="HU172" s="2297"/>
      <c r="HV172" s="2297"/>
      <c r="HW172" s="2297"/>
      <c r="HX172" s="2297"/>
      <c r="HY172" s="2297"/>
      <c r="HZ172" s="2297"/>
      <c r="IA172" s="2297"/>
      <c r="IB172" s="2297"/>
      <c r="IC172" s="2297"/>
      <c r="ID172" s="2297"/>
      <c r="IE172" s="2297"/>
      <c r="IF172" s="2297"/>
      <c r="IG172" s="2297"/>
      <c r="IH172" s="2297"/>
      <c r="II172" s="2297"/>
      <c r="IJ172" s="2297"/>
      <c r="IK172" s="2297"/>
      <c r="IL172" s="2297"/>
      <c r="IM172" s="2297"/>
      <c r="IN172" s="2297"/>
      <c r="IO172" s="2297"/>
      <c r="IP172" s="2297"/>
      <c r="IQ172" s="2297"/>
      <c r="IR172" s="2297"/>
      <c r="IS172" s="2297"/>
      <c r="IT172" s="2297"/>
      <c r="IU172" s="2297"/>
      <c r="IV172" s="2297"/>
    </row>
    <row r="173" spans="1:256">
      <c r="A173" s="2297"/>
      <c r="B173" s="2297"/>
      <c r="C173" s="2298"/>
      <c r="D173" s="2298"/>
      <c r="E173" s="2298"/>
      <c r="F173" s="2298"/>
      <c r="G173" s="2298"/>
      <c r="H173" s="2298"/>
      <c r="AC173" s="2297"/>
      <c r="AD173" s="2297"/>
      <c r="AE173" s="2297"/>
      <c r="AF173" s="2297"/>
      <c r="AG173" s="2297"/>
      <c r="AH173" s="2297"/>
      <c r="AI173" s="2297"/>
      <c r="AJ173" s="2297"/>
      <c r="AK173" s="2297"/>
      <c r="AL173" s="2297"/>
      <c r="AM173" s="2297"/>
      <c r="AN173" s="2297"/>
      <c r="AO173" s="2297"/>
      <c r="AP173" s="2297"/>
      <c r="AQ173" s="2297"/>
      <c r="AR173" s="2297"/>
      <c r="AS173" s="2297"/>
      <c r="AT173" s="2297"/>
      <c r="AU173" s="2297"/>
      <c r="AV173" s="2297"/>
      <c r="AW173" s="2297"/>
      <c r="AX173" s="2297"/>
      <c r="AY173" s="2297"/>
      <c r="AZ173" s="2297"/>
      <c r="BA173" s="2297"/>
      <c r="BB173" s="2297"/>
      <c r="BC173" s="2297"/>
      <c r="BD173" s="2297"/>
      <c r="BE173" s="2297"/>
      <c r="BF173" s="2297"/>
      <c r="BG173" s="2297"/>
      <c r="BH173" s="2297"/>
      <c r="BI173" s="2297"/>
      <c r="BJ173" s="2297"/>
      <c r="BK173" s="2297"/>
      <c r="BL173" s="2297"/>
      <c r="BM173" s="2297"/>
      <c r="BN173" s="2297"/>
      <c r="BO173" s="2297"/>
      <c r="BP173" s="2297"/>
      <c r="BQ173" s="2297"/>
      <c r="BR173" s="2297"/>
      <c r="BS173" s="2297"/>
      <c r="BT173" s="2297"/>
      <c r="BU173" s="2297"/>
      <c r="BV173" s="2297"/>
      <c r="BW173" s="2297"/>
      <c r="BX173" s="2297"/>
      <c r="BY173" s="2297"/>
      <c r="BZ173" s="2297"/>
      <c r="CA173" s="2297"/>
      <c r="CB173" s="2297"/>
      <c r="CC173" s="2297"/>
      <c r="CD173" s="2297"/>
      <c r="CE173" s="2297"/>
      <c r="CF173" s="2297"/>
      <c r="CG173" s="2297"/>
      <c r="CH173" s="2297"/>
      <c r="CI173" s="2297"/>
      <c r="CJ173" s="2297"/>
      <c r="CK173" s="2297"/>
      <c r="CL173" s="2297"/>
      <c r="CM173" s="2297"/>
      <c r="CN173" s="2297"/>
      <c r="CO173" s="2297"/>
      <c r="CP173" s="2297"/>
      <c r="CQ173" s="2297"/>
      <c r="CR173" s="2297"/>
      <c r="CS173" s="2297"/>
      <c r="CT173" s="2297"/>
      <c r="CU173" s="2297"/>
      <c r="CV173" s="2297"/>
      <c r="CW173" s="2297"/>
      <c r="CX173" s="2297"/>
      <c r="CY173" s="2297"/>
      <c r="CZ173" s="2297"/>
      <c r="DA173" s="2297"/>
      <c r="DB173" s="2297"/>
      <c r="DC173" s="2297"/>
      <c r="DD173" s="2297"/>
      <c r="DE173" s="2297"/>
      <c r="DF173" s="2297"/>
      <c r="DG173" s="2297"/>
      <c r="DH173" s="2297"/>
      <c r="DI173" s="2297"/>
      <c r="DJ173" s="2297"/>
      <c r="DK173" s="2297"/>
      <c r="DL173" s="2297"/>
      <c r="DM173" s="2297"/>
      <c r="DN173" s="2297"/>
      <c r="DO173" s="2297"/>
      <c r="DP173" s="2297"/>
      <c r="DQ173" s="2297"/>
      <c r="DR173" s="2297"/>
      <c r="DS173" s="2297"/>
      <c r="DT173" s="2297"/>
      <c r="DU173" s="2297"/>
      <c r="DV173" s="2297"/>
      <c r="DW173" s="2297"/>
      <c r="DX173" s="2297"/>
      <c r="DY173" s="2297"/>
      <c r="DZ173" s="2297"/>
      <c r="EA173" s="2297"/>
      <c r="EB173" s="2297"/>
      <c r="EC173" s="2297"/>
      <c r="ED173" s="2297"/>
      <c r="EE173" s="2297"/>
      <c r="EF173" s="2297"/>
      <c r="EG173" s="2297"/>
      <c r="EH173" s="2297"/>
      <c r="EI173" s="2297"/>
      <c r="EJ173" s="2297"/>
      <c r="EK173" s="2297"/>
      <c r="EL173" s="2297"/>
      <c r="EM173" s="2297"/>
      <c r="EN173" s="2297"/>
      <c r="EO173" s="2297"/>
      <c r="EP173" s="2297"/>
      <c r="EQ173" s="2297"/>
      <c r="ER173" s="2297"/>
      <c r="ES173" s="2297"/>
      <c r="ET173" s="2297"/>
      <c r="EU173" s="2297"/>
      <c r="EV173" s="2297"/>
      <c r="EW173" s="2297"/>
      <c r="EX173" s="2297"/>
      <c r="EY173" s="2297"/>
      <c r="EZ173" s="2297"/>
      <c r="FA173" s="2297"/>
      <c r="FB173" s="2297"/>
      <c r="FC173" s="2297"/>
      <c r="FD173" s="2297"/>
      <c r="FE173" s="2297"/>
      <c r="FF173" s="2297"/>
      <c r="FG173" s="2297"/>
      <c r="FH173" s="2297"/>
      <c r="FI173" s="2297"/>
      <c r="FJ173" s="2297"/>
      <c r="FK173" s="2297"/>
      <c r="FL173" s="2297"/>
      <c r="FM173" s="2297"/>
      <c r="FN173" s="2297"/>
      <c r="FO173" s="2297"/>
      <c r="FP173" s="2297"/>
      <c r="FQ173" s="2297"/>
      <c r="FR173" s="2297"/>
      <c r="FS173" s="2297"/>
      <c r="FT173" s="2297"/>
      <c r="FU173" s="2297"/>
      <c r="FV173" s="2297"/>
      <c r="FW173" s="2297"/>
      <c r="FX173" s="2297"/>
      <c r="FY173" s="2297"/>
      <c r="FZ173" s="2297"/>
      <c r="GA173" s="2297"/>
      <c r="GB173" s="2297"/>
      <c r="GC173" s="2297"/>
      <c r="GD173" s="2297"/>
      <c r="GE173" s="2297"/>
      <c r="GF173" s="2297"/>
      <c r="GG173" s="2297"/>
      <c r="GH173" s="2297"/>
      <c r="GI173" s="2297"/>
      <c r="GJ173" s="2297"/>
      <c r="GK173" s="2297"/>
      <c r="GL173" s="2297"/>
      <c r="GM173" s="2297"/>
      <c r="GN173" s="2297"/>
      <c r="GO173" s="2297"/>
      <c r="GP173" s="2297"/>
      <c r="GQ173" s="2297"/>
      <c r="GR173" s="2297"/>
      <c r="GS173" s="2297"/>
      <c r="GT173" s="2297"/>
      <c r="GU173" s="2297"/>
      <c r="GV173" s="2297"/>
      <c r="GW173" s="2297"/>
      <c r="GX173" s="2297"/>
      <c r="GY173" s="2297"/>
      <c r="GZ173" s="2297"/>
      <c r="HA173" s="2297"/>
      <c r="HB173" s="2297"/>
      <c r="HC173" s="2297"/>
      <c r="HD173" s="2297"/>
      <c r="HE173" s="2297"/>
      <c r="HF173" s="2297"/>
      <c r="HG173" s="2297"/>
      <c r="HH173" s="2297"/>
      <c r="HI173" s="2297"/>
      <c r="HJ173" s="2297"/>
      <c r="HK173" s="2297"/>
      <c r="HL173" s="2297"/>
      <c r="HM173" s="2297"/>
      <c r="HN173" s="2297"/>
      <c r="HO173" s="2297"/>
      <c r="HP173" s="2297"/>
      <c r="HQ173" s="2297"/>
      <c r="HR173" s="2297"/>
      <c r="HS173" s="2297"/>
      <c r="HT173" s="2297"/>
      <c r="HU173" s="2297"/>
      <c r="HV173" s="2297"/>
      <c r="HW173" s="2297"/>
      <c r="HX173" s="2297"/>
      <c r="HY173" s="2297"/>
      <c r="HZ173" s="2297"/>
      <c r="IA173" s="2297"/>
      <c r="IB173" s="2297"/>
      <c r="IC173" s="2297"/>
      <c r="ID173" s="2297"/>
      <c r="IE173" s="2297"/>
      <c r="IF173" s="2297"/>
      <c r="IG173" s="2297"/>
      <c r="IH173" s="2297"/>
      <c r="II173" s="2297"/>
      <c r="IJ173" s="2297"/>
      <c r="IK173" s="2297"/>
      <c r="IL173" s="2297"/>
      <c r="IM173" s="2297"/>
      <c r="IN173" s="2297"/>
      <c r="IO173" s="2297"/>
      <c r="IP173" s="2297"/>
      <c r="IQ173" s="2297"/>
      <c r="IR173" s="2297"/>
      <c r="IS173" s="2297"/>
      <c r="IT173" s="2297"/>
      <c r="IU173" s="2297"/>
      <c r="IV173" s="2297"/>
    </row>
    <row r="174" spans="1:256">
      <c r="A174" s="2297"/>
      <c r="B174" s="2297"/>
      <c r="C174" s="2298"/>
      <c r="D174" s="2298"/>
      <c r="E174" s="2298"/>
      <c r="F174" s="2298"/>
      <c r="G174" s="2298"/>
      <c r="H174" s="2298"/>
      <c r="AC174" s="2297"/>
      <c r="AD174" s="2297"/>
      <c r="AE174" s="2297"/>
      <c r="AF174" s="2297"/>
      <c r="AG174" s="2297"/>
      <c r="AH174" s="2297"/>
      <c r="AI174" s="2297"/>
      <c r="AJ174" s="2297"/>
      <c r="AK174" s="2297"/>
      <c r="AL174" s="2297"/>
      <c r="AM174" s="2297"/>
      <c r="AN174" s="2297"/>
      <c r="AO174" s="2297"/>
      <c r="AP174" s="2297"/>
      <c r="AQ174" s="2297"/>
      <c r="AR174" s="2297"/>
      <c r="AS174" s="2297"/>
      <c r="AT174" s="2297"/>
      <c r="AU174" s="2297"/>
      <c r="AV174" s="2297"/>
      <c r="AW174" s="2297"/>
      <c r="AX174" s="2297"/>
      <c r="AY174" s="2297"/>
      <c r="AZ174" s="2297"/>
      <c r="BA174" s="2297"/>
      <c r="BB174" s="2297"/>
      <c r="BC174" s="2297"/>
      <c r="BD174" s="2297"/>
      <c r="BE174" s="2297"/>
      <c r="BF174" s="2297"/>
      <c r="BG174" s="2297"/>
      <c r="BH174" s="2297"/>
      <c r="BI174" s="2297"/>
      <c r="BJ174" s="2297"/>
      <c r="BK174" s="2297"/>
      <c r="BL174" s="2297"/>
      <c r="BM174" s="2297"/>
      <c r="BN174" s="2297"/>
      <c r="BO174" s="2297"/>
      <c r="BP174" s="2297"/>
      <c r="BQ174" s="2297"/>
      <c r="BR174" s="2297"/>
      <c r="BS174" s="2297"/>
      <c r="BT174" s="2297"/>
      <c r="BU174" s="2297"/>
      <c r="BV174" s="2297"/>
      <c r="BW174" s="2297"/>
      <c r="BX174" s="2297"/>
      <c r="BY174" s="2297"/>
      <c r="BZ174" s="2297"/>
      <c r="CA174" s="2297"/>
      <c r="CB174" s="2297"/>
      <c r="CC174" s="2297"/>
      <c r="CD174" s="2297"/>
      <c r="CE174" s="2297"/>
      <c r="CF174" s="2297"/>
      <c r="CG174" s="2297"/>
      <c r="CH174" s="2297"/>
      <c r="CI174" s="2297"/>
      <c r="CJ174" s="2297"/>
      <c r="CK174" s="2297"/>
      <c r="CL174" s="2297"/>
      <c r="CM174" s="2297"/>
      <c r="CN174" s="2297"/>
      <c r="CO174" s="2297"/>
      <c r="CP174" s="2297"/>
      <c r="CQ174" s="2297"/>
      <c r="CR174" s="2297"/>
      <c r="CS174" s="2297"/>
      <c r="CT174" s="2297"/>
      <c r="CU174" s="2297"/>
      <c r="CV174" s="2297"/>
      <c r="CW174" s="2297"/>
      <c r="CX174" s="2297"/>
      <c r="CY174" s="2297"/>
      <c r="CZ174" s="2297"/>
      <c r="DA174" s="2297"/>
      <c r="DB174" s="2297"/>
      <c r="DC174" s="2297"/>
      <c r="DD174" s="2297"/>
      <c r="DE174" s="2297"/>
      <c r="DF174" s="2297"/>
      <c r="DG174" s="2297"/>
      <c r="DH174" s="2297"/>
      <c r="DI174" s="2297"/>
      <c r="DJ174" s="2297"/>
      <c r="DK174" s="2297"/>
      <c r="DL174" s="2297"/>
      <c r="DM174" s="2297"/>
      <c r="DN174" s="2297"/>
      <c r="DO174" s="2297"/>
      <c r="DP174" s="2297"/>
      <c r="DQ174" s="2297"/>
      <c r="DR174" s="2297"/>
      <c r="DS174" s="2297"/>
      <c r="DT174" s="2297"/>
      <c r="DU174" s="2297"/>
      <c r="DV174" s="2297"/>
      <c r="DW174" s="2297"/>
      <c r="DX174" s="2297"/>
      <c r="DY174" s="2297"/>
      <c r="DZ174" s="2297"/>
      <c r="EA174" s="2297"/>
      <c r="EB174" s="2297"/>
      <c r="EC174" s="2297"/>
      <c r="ED174" s="2297"/>
      <c r="EE174" s="2297"/>
      <c r="EF174" s="2297"/>
      <c r="EG174" s="2297"/>
      <c r="EH174" s="2297"/>
      <c r="EI174" s="2297"/>
      <c r="EJ174" s="2297"/>
      <c r="EK174" s="2297"/>
      <c r="EL174" s="2297"/>
      <c r="EM174" s="2297"/>
      <c r="EN174" s="2297"/>
      <c r="EO174" s="2297"/>
      <c r="EP174" s="2297"/>
      <c r="EQ174" s="2297"/>
      <c r="ER174" s="2297"/>
      <c r="ES174" s="2297"/>
      <c r="ET174" s="2297"/>
      <c r="EU174" s="2297"/>
      <c r="EV174" s="2297"/>
      <c r="EW174" s="2297"/>
      <c r="EX174" s="2297"/>
      <c r="EY174" s="2297"/>
      <c r="EZ174" s="2297"/>
      <c r="FA174" s="2297"/>
      <c r="FB174" s="2297"/>
      <c r="FC174" s="2297"/>
      <c r="FD174" s="2297"/>
      <c r="FE174" s="2297"/>
      <c r="FF174" s="2297"/>
      <c r="FG174" s="2297"/>
      <c r="FH174" s="2297"/>
      <c r="FI174" s="2297"/>
      <c r="FJ174" s="2297"/>
      <c r="FK174" s="2297"/>
      <c r="FL174" s="2297"/>
      <c r="FM174" s="2297"/>
      <c r="FN174" s="2297"/>
      <c r="FO174" s="2297"/>
      <c r="FP174" s="2297"/>
      <c r="FQ174" s="2297"/>
      <c r="FR174" s="2297"/>
      <c r="FS174" s="2297"/>
      <c r="FT174" s="2297"/>
      <c r="FU174" s="2297"/>
      <c r="FV174" s="2297"/>
      <c r="FW174" s="2297"/>
      <c r="FX174" s="2297"/>
      <c r="FY174" s="2297"/>
      <c r="FZ174" s="2297"/>
      <c r="GA174" s="2297"/>
      <c r="GB174" s="2297"/>
      <c r="GC174" s="2297"/>
      <c r="GD174" s="2297"/>
      <c r="GE174" s="2297"/>
      <c r="GF174" s="2297"/>
      <c r="GG174" s="2297"/>
      <c r="GH174" s="2297"/>
      <c r="GI174" s="2297"/>
      <c r="GJ174" s="2297"/>
      <c r="GK174" s="2297"/>
      <c r="GL174" s="2297"/>
      <c r="GM174" s="2297"/>
      <c r="GN174" s="2297"/>
      <c r="GO174" s="2297"/>
      <c r="GP174" s="2297"/>
      <c r="GQ174" s="2297"/>
      <c r="GR174" s="2297"/>
      <c r="GS174" s="2297"/>
      <c r="GT174" s="2297"/>
      <c r="GU174" s="2297"/>
      <c r="GV174" s="2297"/>
      <c r="GW174" s="2297"/>
      <c r="GX174" s="2297"/>
      <c r="GY174" s="2297"/>
      <c r="GZ174" s="2297"/>
      <c r="HA174" s="2297"/>
      <c r="HB174" s="2297"/>
      <c r="HC174" s="2297"/>
      <c r="HD174" s="2297"/>
      <c r="HE174" s="2297"/>
      <c r="HF174" s="2297"/>
      <c r="HG174" s="2297"/>
      <c r="HH174" s="2297"/>
      <c r="HI174" s="2297"/>
      <c r="HJ174" s="2297"/>
      <c r="HK174" s="2297"/>
      <c r="HL174" s="2297"/>
      <c r="HM174" s="2297"/>
      <c r="HN174" s="2297"/>
      <c r="HO174" s="2297"/>
      <c r="HP174" s="2297"/>
      <c r="HQ174" s="2297"/>
      <c r="HR174" s="2297"/>
      <c r="HS174" s="2297"/>
      <c r="HT174" s="2297"/>
      <c r="HU174" s="2297"/>
      <c r="HV174" s="2297"/>
      <c r="HW174" s="2297"/>
      <c r="HX174" s="2297"/>
      <c r="HY174" s="2297"/>
      <c r="HZ174" s="2297"/>
      <c r="IA174" s="2297"/>
      <c r="IB174" s="2297"/>
      <c r="IC174" s="2297"/>
      <c r="ID174" s="2297"/>
      <c r="IE174" s="2297"/>
      <c r="IF174" s="2297"/>
      <c r="IG174" s="2297"/>
      <c r="IH174" s="2297"/>
      <c r="II174" s="2297"/>
      <c r="IJ174" s="2297"/>
      <c r="IK174" s="2297"/>
      <c r="IL174" s="2297"/>
      <c r="IM174" s="2297"/>
      <c r="IN174" s="2297"/>
      <c r="IO174" s="2297"/>
      <c r="IP174" s="2297"/>
      <c r="IQ174" s="2297"/>
      <c r="IR174" s="2297"/>
      <c r="IS174" s="2297"/>
      <c r="IT174" s="2297"/>
      <c r="IU174" s="2297"/>
      <c r="IV174" s="2297"/>
    </row>
    <row r="175" spans="1:256">
      <c r="A175" s="2297"/>
      <c r="B175" s="2297"/>
      <c r="C175" s="2298"/>
      <c r="D175" s="2298"/>
      <c r="E175" s="2298"/>
      <c r="F175" s="2298"/>
      <c r="G175" s="2298"/>
      <c r="H175" s="2298"/>
      <c r="AC175" s="2297"/>
      <c r="AD175" s="2297"/>
      <c r="AE175" s="2297"/>
      <c r="AF175" s="2297"/>
      <c r="AG175" s="2297"/>
      <c r="AH175" s="2297"/>
      <c r="AI175" s="2297"/>
      <c r="AJ175" s="2297"/>
      <c r="AK175" s="2297"/>
      <c r="AL175" s="2297"/>
      <c r="AM175" s="2297"/>
      <c r="AN175" s="2297"/>
      <c r="AO175" s="2297"/>
      <c r="AP175" s="2297"/>
      <c r="AQ175" s="2297"/>
      <c r="AR175" s="2297"/>
      <c r="AS175" s="2297"/>
      <c r="AT175" s="2297"/>
      <c r="AU175" s="2297"/>
      <c r="AV175" s="2297"/>
      <c r="AW175" s="2297"/>
      <c r="AX175" s="2297"/>
      <c r="AY175" s="2297"/>
      <c r="AZ175" s="2297"/>
      <c r="BA175" s="2297"/>
      <c r="BB175" s="2297"/>
      <c r="BC175" s="2297"/>
      <c r="BD175" s="2297"/>
      <c r="BE175" s="2297"/>
      <c r="BF175" s="2297"/>
      <c r="BG175" s="2297"/>
      <c r="BH175" s="2297"/>
      <c r="BI175" s="2297"/>
      <c r="BJ175" s="2297"/>
      <c r="BK175" s="2297"/>
      <c r="BL175" s="2297"/>
      <c r="BM175" s="2297"/>
      <c r="BN175" s="2297"/>
      <c r="BO175" s="2297"/>
      <c r="BP175" s="2297"/>
      <c r="BQ175" s="2297"/>
      <c r="BR175" s="2297"/>
      <c r="BS175" s="2297"/>
      <c r="BT175" s="2297"/>
      <c r="BU175" s="2297"/>
      <c r="BV175" s="2297"/>
      <c r="BW175" s="2297"/>
      <c r="BX175" s="2297"/>
      <c r="BY175" s="2297"/>
      <c r="BZ175" s="2297"/>
      <c r="CA175" s="2297"/>
      <c r="CB175" s="2297"/>
      <c r="CC175" s="2297"/>
      <c r="CD175" s="2297"/>
      <c r="CE175" s="2297"/>
      <c r="CF175" s="2297"/>
      <c r="CG175" s="2297"/>
      <c r="CH175" s="2297"/>
      <c r="CI175" s="2297"/>
      <c r="CJ175" s="2297"/>
      <c r="CK175" s="2297"/>
      <c r="CL175" s="2297"/>
      <c r="CM175" s="2297"/>
      <c r="CN175" s="2297"/>
      <c r="CO175" s="2297"/>
      <c r="CP175" s="2297"/>
      <c r="CQ175" s="2297"/>
      <c r="CR175" s="2297"/>
      <c r="CS175" s="2297"/>
      <c r="CT175" s="2297"/>
      <c r="CU175" s="2297"/>
      <c r="CV175" s="2297"/>
      <c r="CW175" s="2297"/>
      <c r="CX175" s="2297"/>
      <c r="CY175" s="2297"/>
      <c r="CZ175" s="2297"/>
      <c r="DA175" s="2297"/>
      <c r="DB175" s="2297"/>
      <c r="DC175" s="2297"/>
      <c r="DD175" s="2297"/>
      <c r="DE175" s="2297"/>
      <c r="DF175" s="2297"/>
      <c r="DG175" s="2297"/>
      <c r="DH175" s="2297"/>
      <c r="DI175" s="2297"/>
      <c r="DJ175" s="2297"/>
      <c r="DK175" s="2297"/>
      <c r="DL175" s="2297"/>
      <c r="DM175" s="2297"/>
      <c r="DN175" s="2297"/>
      <c r="DO175" s="2297"/>
      <c r="DP175" s="2297"/>
      <c r="DQ175" s="2297"/>
      <c r="DR175" s="2297"/>
      <c r="DS175" s="2297"/>
      <c r="DT175" s="2297"/>
      <c r="DU175" s="2297"/>
      <c r="DV175" s="2297"/>
      <c r="DW175" s="2297"/>
      <c r="DX175" s="2297"/>
      <c r="DY175" s="2297"/>
      <c r="DZ175" s="2297"/>
      <c r="EA175" s="2297"/>
      <c r="EB175" s="2297"/>
      <c r="EC175" s="2297"/>
      <c r="ED175" s="2297"/>
      <c r="EE175" s="2297"/>
      <c r="EF175" s="2297"/>
      <c r="EG175" s="2297"/>
      <c r="EH175" s="2297"/>
      <c r="EI175" s="2297"/>
      <c r="EJ175" s="2297"/>
      <c r="EK175" s="2297"/>
      <c r="EL175" s="2297"/>
      <c r="EM175" s="2297"/>
      <c r="EN175" s="2297"/>
      <c r="EO175" s="2297"/>
      <c r="EP175" s="2297"/>
      <c r="EQ175" s="2297"/>
      <c r="ER175" s="2297"/>
      <c r="ES175" s="2297"/>
      <c r="ET175" s="2297"/>
      <c r="EU175" s="2297"/>
      <c r="EV175" s="2297"/>
      <c r="EW175" s="2297"/>
      <c r="EX175" s="2297"/>
      <c r="EY175" s="2297"/>
      <c r="EZ175" s="2297"/>
      <c r="FA175" s="2297"/>
      <c r="FB175" s="2297"/>
      <c r="FC175" s="2297"/>
      <c r="FD175" s="2297"/>
      <c r="FE175" s="2297"/>
      <c r="FF175" s="2297"/>
      <c r="FG175" s="2297"/>
      <c r="FH175" s="2297"/>
      <c r="FI175" s="2297"/>
      <c r="FJ175" s="2297"/>
      <c r="FK175" s="2297"/>
      <c r="FL175" s="2297"/>
      <c r="FM175" s="2297"/>
      <c r="FN175" s="2297"/>
      <c r="FO175" s="2297"/>
      <c r="FP175" s="2297"/>
      <c r="FQ175" s="2297"/>
      <c r="FR175" s="2297"/>
      <c r="FS175" s="2297"/>
      <c r="FT175" s="2297"/>
      <c r="FU175" s="2297"/>
      <c r="FV175" s="2297"/>
      <c r="FW175" s="2297"/>
      <c r="FX175" s="2297"/>
      <c r="FY175" s="2297"/>
      <c r="FZ175" s="2297"/>
      <c r="GA175" s="2297"/>
      <c r="GB175" s="2297"/>
      <c r="GC175" s="2297"/>
      <c r="GD175" s="2297"/>
      <c r="GE175" s="2297"/>
      <c r="GF175" s="2297"/>
      <c r="GG175" s="2297"/>
      <c r="GH175" s="2297"/>
      <c r="GI175" s="2297"/>
      <c r="GJ175" s="2297"/>
      <c r="GK175" s="2297"/>
      <c r="GL175" s="2297"/>
      <c r="GM175" s="2297"/>
      <c r="GN175" s="2297"/>
      <c r="GO175" s="2297"/>
      <c r="GP175" s="2297"/>
      <c r="GQ175" s="2297"/>
      <c r="GR175" s="2297"/>
      <c r="GS175" s="2297"/>
      <c r="GT175" s="2297"/>
      <c r="GU175" s="2297"/>
      <c r="GV175" s="2297"/>
      <c r="GW175" s="2297"/>
      <c r="GX175" s="2297"/>
      <c r="GY175" s="2297"/>
      <c r="GZ175" s="2297"/>
      <c r="HA175" s="2297"/>
      <c r="HB175" s="2297"/>
      <c r="HC175" s="2297"/>
      <c r="HD175" s="2297"/>
      <c r="HE175" s="2297"/>
      <c r="HF175" s="2297"/>
      <c r="HG175" s="2297"/>
      <c r="HH175" s="2297"/>
      <c r="HI175" s="2297"/>
      <c r="HJ175" s="2297"/>
      <c r="HK175" s="2297"/>
      <c r="HL175" s="2297"/>
      <c r="HM175" s="2297"/>
      <c r="HN175" s="2297"/>
      <c r="HO175" s="2297"/>
      <c r="HP175" s="2297"/>
      <c r="HQ175" s="2297"/>
      <c r="HR175" s="2297"/>
      <c r="HS175" s="2297"/>
      <c r="HT175" s="2297"/>
      <c r="HU175" s="2297"/>
      <c r="HV175" s="2297"/>
      <c r="HW175" s="2297"/>
      <c r="HX175" s="2297"/>
      <c r="HY175" s="2297"/>
      <c r="HZ175" s="2297"/>
      <c r="IA175" s="2297"/>
      <c r="IB175" s="2297"/>
      <c r="IC175" s="2297"/>
      <c r="ID175" s="2297"/>
      <c r="IE175" s="2297"/>
      <c r="IF175" s="2297"/>
      <c r="IG175" s="2297"/>
      <c r="IH175" s="2297"/>
      <c r="II175" s="2297"/>
      <c r="IJ175" s="2297"/>
      <c r="IK175" s="2297"/>
      <c r="IL175" s="2297"/>
      <c r="IM175" s="2297"/>
      <c r="IN175" s="2297"/>
      <c r="IO175" s="2297"/>
      <c r="IP175" s="2297"/>
      <c r="IQ175" s="2297"/>
      <c r="IR175" s="2297"/>
      <c r="IS175" s="2297"/>
      <c r="IT175" s="2297"/>
      <c r="IU175" s="2297"/>
      <c r="IV175" s="2297"/>
    </row>
    <row r="176" spans="1:256">
      <c r="A176" s="2297"/>
      <c r="B176" s="2297"/>
      <c r="C176" s="2298"/>
      <c r="D176" s="2298"/>
      <c r="E176" s="2298"/>
      <c r="F176" s="2298"/>
      <c r="G176" s="2298"/>
      <c r="H176" s="2298"/>
      <c r="AC176" s="2297"/>
      <c r="AD176" s="2297"/>
      <c r="AE176" s="2297"/>
      <c r="AF176" s="2297"/>
      <c r="AG176" s="2297"/>
      <c r="AH176" s="2297"/>
      <c r="AI176" s="2297"/>
      <c r="AJ176" s="2297"/>
      <c r="AK176" s="2297"/>
      <c r="AL176" s="2297"/>
      <c r="AM176" s="2297"/>
      <c r="AN176" s="2297"/>
      <c r="AO176" s="2297"/>
      <c r="AP176" s="2297"/>
      <c r="AQ176" s="2297"/>
      <c r="AR176" s="2297"/>
      <c r="AS176" s="2297"/>
      <c r="AT176" s="2297"/>
      <c r="AU176" s="2297"/>
      <c r="AV176" s="2297"/>
      <c r="AW176" s="2297"/>
      <c r="AX176" s="2297"/>
      <c r="AY176" s="2297"/>
      <c r="AZ176" s="2297"/>
      <c r="BA176" s="2297"/>
      <c r="BB176" s="2297"/>
      <c r="BC176" s="2297"/>
      <c r="BD176" s="2297"/>
      <c r="BE176" s="2297"/>
      <c r="BF176" s="2297"/>
      <c r="BG176" s="2297"/>
      <c r="BH176" s="2297"/>
      <c r="BI176" s="2297"/>
      <c r="BJ176" s="2297"/>
      <c r="BK176" s="2297"/>
      <c r="BL176" s="2297"/>
      <c r="BM176" s="2297"/>
      <c r="BN176" s="2297"/>
      <c r="BO176" s="2297"/>
      <c r="BP176" s="2297"/>
      <c r="BQ176" s="2297"/>
      <c r="BR176" s="2297"/>
      <c r="BS176" s="2297"/>
      <c r="BT176" s="2297"/>
      <c r="BU176" s="2297"/>
      <c r="BV176" s="2297"/>
      <c r="BW176" s="2297"/>
      <c r="BX176" s="2297"/>
      <c r="BY176" s="2297"/>
      <c r="BZ176" s="2297"/>
      <c r="CA176" s="2297"/>
      <c r="CB176" s="2297"/>
      <c r="CC176" s="2297"/>
      <c r="CD176" s="2297"/>
      <c r="CE176" s="2297"/>
      <c r="CF176" s="2297"/>
      <c r="CG176" s="2297"/>
      <c r="CH176" s="2297"/>
      <c r="CI176" s="2297"/>
      <c r="CJ176" s="2297"/>
      <c r="CK176" s="2297"/>
      <c r="CL176" s="2297"/>
      <c r="CM176" s="2297"/>
      <c r="CN176" s="2297"/>
      <c r="CO176" s="2297"/>
      <c r="CP176" s="2297"/>
      <c r="CQ176" s="2297"/>
      <c r="CR176" s="2297"/>
      <c r="CS176" s="2297"/>
      <c r="CT176" s="2297"/>
      <c r="CU176" s="2297"/>
      <c r="CV176" s="2297"/>
      <c r="CW176" s="2297"/>
      <c r="CX176" s="2297"/>
      <c r="CY176" s="2297"/>
      <c r="CZ176" s="2297"/>
      <c r="DA176" s="2297"/>
      <c r="DB176" s="2297"/>
      <c r="DC176" s="2297"/>
      <c r="DD176" s="2297"/>
      <c r="DE176" s="2297"/>
      <c r="DF176" s="2297"/>
      <c r="DG176" s="2297"/>
      <c r="DH176" s="2297"/>
      <c r="DI176" s="2297"/>
      <c r="DJ176" s="2297"/>
      <c r="DK176" s="2297"/>
      <c r="DL176" s="2297"/>
      <c r="DM176" s="2297"/>
      <c r="DN176" s="2297"/>
      <c r="DO176" s="2297"/>
      <c r="DP176" s="2297"/>
      <c r="DQ176" s="2297"/>
      <c r="DR176" s="2297"/>
      <c r="DS176" s="2297"/>
      <c r="DT176" s="2297"/>
      <c r="DU176" s="2297"/>
      <c r="DV176" s="2297"/>
      <c r="DW176" s="2297"/>
      <c r="DX176" s="2297"/>
      <c r="DY176" s="2297"/>
      <c r="DZ176" s="2297"/>
      <c r="EA176" s="2297"/>
      <c r="EB176" s="2297"/>
      <c r="EC176" s="2297"/>
      <c r="ED176" s="2297"/>
      <c r="EE176" s="2297"/>
      <c r="EF176" s="2297"/>
      <c r="EG176" s="2297"/>
      <c r="EH176" s="2297"/>
      <c r="EI176" s="2297"/>
      <c r="EJ176" s="2297"/>
      <c r="EK176" s="2297"/>
      <c r="EL176" s="2297"/>
      <c r="EM176" s="2297"/>
      <c r="EN176" s="2297"/>
      <c r="EO176" s="2297"/>
      <c r="EP176" s="2297"/>
      <c r="EQ176" s="2297"/>
      <c r="ER176" s="2297"/>
      <c r="ES176" s="2297"/>
      <c r="ET176" s="2297"/>
      <c r="EU176" s="2297"/>
      <c r="EV176" s="2297"/>
      <c r="EW176" s="2297"/>
      <c r="EX176" s="2297"/>
      <c r="EY176" s="2297"/>
      <c r="EZ176" s="2297"/>
      <c r="FA176" s="2297"/>
      <c r="FB176" s="2297"/>
      <c r="FC176" s="2297"/>
      <c r="FD176" s="2297"/>
      <c r="FE176" s="2297"/>
      <c r="FF176" s="2297"/>
      <c r="FG176" s="2297"/>
      <c r="FH176" s="2297"/>
      <c r="FI176" s="2297"/>
      <c r="FJ176" s="2297"/>
      <c r="FK176" s="2297"/>
      <c r="FL176" s="2297"/>
      <c r="FM176" s="2297"/>
      <c r="FN176" s="2297"/>
      <c r="FO176" s="2297"/>
      <c r="FP176" s="2297"/>
      <c r="FQ176" s="2297"/>
      <c r="FR176" s="2297"/>
      <c r="FS176" s="2297"/>
      <c r="FT176" s="2297"/>
      <c r="FU176" s="2297"/>
      <c r="FV176" s="2297"/>
      <c r="FW176" s="2297"/>
      <c r="FX176" s="2297"/>
      <c r="FY176" s="2297"/>
      <c r="FZ176" s="2297"/>
      <c r="GA176" s="2297"/>
      <c r="GB176" s="2297"/>
      <c r="GC176" s="2297"/>
      <c r="GD176" s="2297"/>
      <c r="GE176" s="2297"/>
      <c r="GF176" s="2297"/>
      <c r="GG176" s="2297"/>
      <c r="GH176" s="2297"/>
      <c r="GI176" s="2297"/>
      <c r="GJ176" s="2297"/>
      <c r="GK176" s="2297"/>
      <c r="GL176" s="2297"/>
      <c r="GM176" s="2297"/>
      <c r="GN176" s="2297"/>
      <c r="GO176" s="2297"/>
      <c r="GP176" s="2297"/>
      <c r="GQ176" s="2297"/>
      <c r="GR176" s="2297"/>
      <c r="GS176" s="2297"/>
      <c r="GT176" s="2297"/>
      <c r="GU176" s="2297"/>
      <c r="GV176" s="2297"/>
      <c r="GW176" s="2297"/>
      <c r="GX176" s="2297"/>
      <c r="GY176" s="2297"/>
      <c r="GZ176" s="2297"/>
      <c r="HA176" s="2297"/>
      <c r="HB176" s="2297"/>
      <c r="HC176" s="2297"/>
      <c r="HD176" s="2297"/>
      <c r="HE176" s="2297"/>
      <c r="HF176" s="2297"/>
      <c r="HG176" s="2297"/>
      <c r="HH176" s="2297"/>
      <c r="HI176" s="2297"/>
      <c r="HJ176" s="2297"/>
      <c r="HK176" s="2297"/>
      <c r="HL176" s="2297"/>
      <c r="HM176" s="2297"/>
      <c r="HN176" s="2297"/>
      <c r="HO176" s="2297"/>
      <c r="HP176" s="2297"/>
      <c r="HQ176" s="2297"/>
      <c r="HR176" s="2297"/>
      <c r="HS176" s="2297"/>
      <c r="HT176" s="2297"/>
      <c r="HU176" s="2297"/>
      <c r="HV176" s="2297"/>
      <c r="HW176" s="2297"/>
      <c r="HX176" s="2297"/>
      <c r="HY176" s="2297"/>
      <c r="HZ176" s="2297"/>
      <c r="IA176" s="2297"/>
      <c r="IB176" s="2297"/>
      <c r="IC176" s="2297"/>
      <c r="ID176" s="2297"/>
      <c r="IE176" s="2297"/>
      <c r="IF176" s="2297"/>
      <c r="IG176" s="2297"/>
      <c r="IH176" s="2297"/>
      <c r="II176" s="2297"/>
      <c r="IJ176" s="2297"/>
      <c r="IK176" s="2297"/>
      <c r="IL176" s="2297"/>
      <c r="IM176" s="2297"/>
      <c r="IN176" s="2297"/>
      <c r="IO176" s="2297"/>
      <c r="IP176" s="2297"/>
      <c r="IQ176" s="2297"/>
      <c r="IR176" s="2297"/>
      <c r="IS176" s="2297"/>
      <c r="IT176" s="2297"/>
      <c r="IU176" s="2297"/>
      <c r="IV176" s="2297"/>
    </row>
    <row r="177" spans="1:256">
      <c r="A177" s="2297"/>
      <c r="B177" s="2297"/>
      <c r="C177" s="2298"/>
      <c r="D177" s="2298"/>
      <c r="E177" s="2298"/>
      <c r="F177" s="2298"/>
      <c r="G177" s="2298"/>
      <c r="H177" s="2298"/>
      <c r="AC177" s="2297"/>
      <c r="AD177" s="2297"/>
      <c r="AE177" s="2297"/>
      <c r="AF177" s="2297"/>
      <c r="AG177" s="2297"/>
      <c r="AH177" s="2297"/>
      <c r="AI177" s="2297"/>
      <c r="AJ177" s="2297"/>
      <c r="AK177" s="2297"/>
      <c r="AL177" s="2297"/>
      <c r="AM177" s="2297"/>
      <c r="AN177" s="2297"/>
      <c r="AO177" s="2297"/>
      <c r="AP177" s="2297"/>
      <c r="AQ177" s="2297"/>
      <c r="AR177" s="2297"/>
      <c r="AS177" s="2297"/>
      <c r="AT177" s="2297"/>
      <c r="AU177" s="2297"/>
      <c r="AV177" s="2297"/>
      <c r="AW177" s="2297"/>
      <c r="AX177" s="2297"/>
      <c r="AY177" s="2297"/>
      <c r="AZ177" s="2297"/>
      <c r="BA177" s="2297"/>
      <c r="BB177" s="2297"/>
      <c r="BC177" s="2297"/>
      <c r="BD177" s="2297"/>
      <c r="BE177" s="2297"/>
      <c r="BF177" s="2297"/>
      <c r="BG177" s="2297"/>
      <c r="BH177" s="2297"/>
      <c r="BI177" s="2297"/>
      <c r="BJ177" s="2297"/>
      <c r="BK177" s="2297"/>
      <c r="BL177" s="2297"/>
      <c r="BM177" s="2297"/>
      <c r="BN177" s="2297"/>
      <c r="BO177" s="2297"/>
      <c r="BP177" s="2297"/>
      <c r="BQ177" s="2297"/>
      <c r="BR177" s="2297"/>
      <c r="BS177" s="2297"/>
      <c r="BT177" s="2297"/>
      <c r="BU177" s="2297"/>
      <c r="BV177" s="2297"/>
      <c r="BW177" s="2297"/>
      <c r="BX177" s="2297"/>
      <c r="BY177" s="2297"/>
      <c r="BZ177" s="2297"/>
      <c r="CA177" s="2297"/>
      <c r="CB177" s="2297"/>
      <c r="CC177" s="2297"/>
      <c r="CD177" s="2297"/>
      <c r="CE177" s="2297"/>
      <c r="CF177" s="2297"/>
      <c r="CG177" s="2297"/>
      <c r="CH177" s="2297"/>
      <c r="CI177" s="2297"/>
      <c r="CJ177" s="2297"/>
      <c r="CK177" s="2297"/>
      <c r="CL177" s="2297"/>
      <c r="CM177" s="2297"/>
      <c r="CN177" s="2297"/>
      <c r="CO177" s="2297"/>
      <c r="CP177" s="2297"/>
      <c r="CQ177" s="2297"/>
      <c r="CR177" s="2297"/>
      <c r="CS177" s="2297"/>
      <c r="CT177" s="2297"/>
      <c r="CU177" s="2297"/>
      <c r="CV177" s="2297"/>
      <c r="CW177" s="2297"/>
      <c r="CX177" s="2297"/>
      <c r="CY177" s="2297"/>
      <c r="CZ177" s="2297"/>
      <c r="DA177" s="2297"/>
      <c r="DB177" s="2297"/>
      <c r="DC177" s="2297"/>
      <c r="DD177" s="2297"/>
      <c r="DE177" s="2297"/>
      <c r="DF177" s="2297"/>
      <c r="DG177" s="2297"/>
      <c r="DH177" s="2297"/>
      <c r="DI177" s="2297"/>
      <c r="DJ177" s="2297"/>
      <c r="DK177" s="2297"/>
      <c r="DL177" s="2297"/>
      <c r="DM177" s="2297"/>
      <c r="DN177" s="2297"/>
      <c r="DO177" s="2297"/>
      <c r="DP177" s="2297"/>
      <c r="DQ177" s="2297"/>
      <c r="DR177" s="2297"/>
      <c r="DS177" s="2297"/>
      <c r="DT177" s="2297"/>
      <c r="DU177" s="2297"/>
      <c r="DV177" s="2297"/>
      <c r="DW177" s="2297"/>
      <c r="DX177" s="2297"/>
      <c r="DY177" s="2297"/>
      <c r="DZ177" s="2297"/>
      <c r="EA177" s="2297"/>
      <c r="EB177" s="2297"/>
      <c r="EC177" s="2297"/>
      <c r="ED177" s="2297"/>
      <c r="EE177" s="2297"/>
      <c r="EF177" s="2297"/>
      <c r="EG177" s="2297"/>
      <c r="EH177" s="2297"/>
      <c r="EI177" s="2297"/>
      <c r="EJ177" s="2297"/>
      <c r="EK177" s="2297"/>
      <c r="EL177" s="2297"/>
      <c r="EM177" s="2297"/>
      <c r="EN177" s="2297"/>
      <c r="EO177" s="2297"/>
      <c r="EP177" s="2297"/>
      <c r="EQ177" s="2297"/>
      <c r="ER177" s="2297"/>
      <c r="ES177" s="2297"/>
      <c r="ET177" s="2297"/>
      <c r="EU177" s="2297"/>
      <c r="EV177" s="2297"/>
      <c r="EW177" s="2297"/>
      <c r="EX177" s="2297"/>
      <c r="EY177" s="2297"/>
      <c r="EZ177" s="2297"/>
      <c r="FA177" s="2297"/>
      <c r="FB177" s="2297"/>
      <c r="FC177" s="2297"/>
      <c r="FD177" s="2297"/>
      <c r="FE177" s="2297"/>
      <c r="FF177" s="2297"/>
      <c r="FG177" s="2297"/>
      <c r="FH177" s="2297"/>
      <c r="FI177" s="2297"/>
      <c r="FJ177" s="2297"/>
      <c r="FK177" s="2297"/>
      <c r="FL177" s="2297"/>
      <c r="FM177" s="2297"/>
      <c r="FN177" s="2297"/>
      <c r="FO177" s="2297"/>
      <c r="FP177" s="2297"/>
      <c r="FQ177" s="2297"/>
      <c r="FR177" s="2297"/>
      <c r="FS177" s="2297"/>
      <c r="FT177" s="2297"/>
      <c r="FU177" s="2297"/>
      <c r="FV177" s="2297"/>
      <c r="FW177" s="2297"/>
      <c r="FX177" s="2297"/>
      <c r="FY177" s="2297"/>
      <c r="FZ177" s="2297"/>
      <c r="GA177" s="2297"/>
      <c r="GB177" s="2297"/>
      <c r="GC177" s="2297"/>
      <c r="GD177" s="2297"/>
      <c r="GE177" s="2297"/>
      <c r="GF177" s="2297"/>
      <c r="GG177" s="2297"/>
      <c r="GH177" s="2297"/>
      <c r="GI177" s="2297"/>
      <c r="GJ177" s="2297"/>
      <c r="GK177" s="2297"/>
      <c r="GL177" s="2297"/>
      <c r="GM177" s="2297"/>
      <c r="GN177" s="2297"/>
      <c r="GO177" s="2297"/>
      <c r="GP177" s="2297"/>
      <c r="GQ177" s="2297"/>
      <c r="GR177" s="2297"/>
      <c r="GS177" s="2297"/>
      <c r="GT177" s="2297"/>
      <c r="GU177" s="2297"/>
      <c r="GV177" s="2297"/>
      <c r="GW177" s="2297"/>
      <c r="GX177" s="2297"/>
      <c r="GY177" s="2297"/>
      <c r="GZ177" s="2297"/>
      <c r="HA177" s="2297"/>
      <c r="HB177" s="2297"/>
      <c r="HC177" s="2297"/>
      <c r="HD177" s="2297"/>
      <c r="HE177" s="2297"/>
      <c r="HF177" s="2297"/>
      <c r="HG177" s="2297"/>
      <c r="HH177" s="2297"/>
      <c r="HI177" s="2297"/>
      <c r="HJ177" s="2297"/>
      <c r="HK177" s="2297"/>
      <c r="HL177" s="2297"/>
      <c r="HM177" s="2297"/>
      <c r="HN177" s="2297"/>
      <c r="HO177" s="2297"/>
      <c r="HP177" s="2297"/>
      <c r="HQ177" s="2297"/>
      <c r="HR177" s="2297"/>
      <c r="HS177" s="2297"/>
      <c r="HT177" s="2297"/>
      <c r="HU177" s="2297"/>
      <c r="HV177" s="2297"/>
      <c r="HW177" s="2297"/>
      <c r="HX177" s="2297"/>
      <c r="HY177" s="2297"/>
      <c r="HZ177" s="2297"/>
      <c r="IA177" s="2297"/>
      <c r="IB177" s="2297"/>
      <c r="IC177" s="2297"/>
      <c r="ID177" s="2297"/>
      <c r="IE177" s="2297"/>
      <c r="IF177" s="2297"/>
      <c r="IG177" s="2297"/>
      <c r="IH177" s="2297"/>
      <c r="II177" s="2297"/>
      <c r="IJ177" s="2297"/>
      <c r="IK177" s="2297"/>
      <c r="IL177" s="2297"/>
      <c r="IM177" s="2297"/>
      <c r="IN177" s="2297"/>
      <c r="IO177" s="2297"/>
      <c r="IP177" s="2297"/>
      <c r="IQ177" s="2297"/>
      <c r="IR177" s="2297"/>
      <c r="IS177" s="2297"/>
      <c r="IT177" s="2297"/>
      <c r="IU177" s="2297"/>
      <c r="IV177" s="2297"/>
    </row>
    <row r="178" spans="1:256">
      <c r="C178" s="2298"/>
      <c r="D178" s="2298"/>
      <c r="E178" s="2298"/>
      <c r="F178" s="2298"/>
      <c r="G178" s="2298"/>
      <c r="H178" s="2298"/>
      <c r="AC178" s="2297"/>
      <c r="AD178" s="2297"/>
      <c r="AE178" s="2297"/>
      <c r="AF178" s="2297"/>
      <c r="AG178" s="2297"/>
      <c r="AH178" s="2297"/>
      <c r="AI178" s="2297"/>
      <c r="AJ178" s="2297"/>
      <c r="AK178" s="2297"/>
      <c r="AL178" s="2297"/>
      <c r="AM178" s="2297"/>
      <c r="AN178" s="2297"/>
      <c r="AO178" s="2297"/>
      <c r="AP178" s="2297"/>
      <c r="AQ178" s="2297"/>
      <c r="AR178" s="2297"/>
      <c r="AS178" s="2297"/>
      <c r="AT178" s="2297"/>
      <c r="AU178" s="2297"/>
      <c r="AV178" s="2297"/>
      <c r="AW178" s="2297"/>
      <c r="AX178" s="2297"/>
      <c r="AY178" s="2297"/>
      <c r="AZ178" s="2297"/>
      <c r="BA178" s="2297"/>
      <c r="BB178" s="2297"/>
      <c r="BC178" s="2297"/>
      <c r="BD178" s="2297"/>
      <c r="BE178" s="2297"/>
      <c r="BF178" s="2297"/>
      <c r="BG178" s="2297"/>
      <c r="BH178" s="2297"/>
      <c r="BI178" s="2297"/>
      <c r="BJ178" s="2297"/>
      <c r="BK178" s="2297"/>
      <c r="BL178" s="2297"/>
      <c r="BM178" s="2297"/>
      <c r="BN178" s="2297"/>
      <c r="BO178" s="2297"/>
      <c r="BP178" s="2297"/>
      <c r="BQ178" s="2297"/>
      <c r="BR178" s="2297"/>
      <c r="BS178" s="2297"/>
      <c r="BT178" s="2297"/>
      <c r="BU178" s="2297"/>
      <c r="BV178" s="2297"/>
      <c r="BW178" s="2297"/>
      <c r="BX178" s="2297"/>
      <c r="BY178" s="2297"/>
      <c r="BZ178" s="2297"/>
      <c r="CA178" s="2297"/>
      <c r="CB178" s="2297"/>
      <c r="CC178" s="2297"/>
      <c r="CD178" s="2297"/>
      <c r="CE178" s="2297"/>
      <c r="CF178" s="2297"/>
      <c r="CG178" s="2297"/>
      <c r="CH178" s="2297"/>
      <c r="CI178" s="2297"/>
      <c r="CJ178" s="2297"/>
      <c r="CK178" s="2297"/>
      <c r="CL178" s="2297"/>
      <c r="CM178" s="2297"/>
      <c r="CN178" s="2297"/>
      <c r="CO178" s="2297"/>
      <c r="CP178" s="2297"/>
      <c r="CQ178" s="2297"/>
      <c r="CR178" s="2297"/>
      <c r="CS178" s="2297"/>
      <c r="CT178" s="2297"/>
      <c r="CU178" s="2297"/>
      <c r="CV178" s="2297"/>
      <c r="CW178" s="2297"/>
      <c r="CX178" s="2297"/>
      <c r="CY178" s="2297"/>
      <c r="CZ178" s="2297"/>
      <c r="DA178" s="2297"/>
      <c r="DB178" s="2297"/>
      <c r="DC178" s="2297"/>
      <c r="DD178" s="2297"/>
      <c r="DE178" s="2297"/>
      <c r="DF178" s="2297"/>
      <c r="DG178" s="2297"/>
      <c r="DH178" s="2297"/>
      <c r="DI178" s="2297"/>
      <c r="DJ178" s="2297"/>
      <c r="DK178" s="2297"/>
      <c r="DL178" s="2297"/>
      <c r="DM178" s="2297"/>
      <c r="DN178" s="2297"/>
      <c r="DO178" s="2297"/>
      <c r="DP178" s="2297"/>
      <c r="DQ178" s="2297"/>
      <c r="DR178" s="2297"/>
      <c r="DS178" s="2297"/>
      <c r="DT178" s="2297"/>
      <c r="DU178" s="2297"/>
      <c r="DV178" s="2297"/>
      <c r="DW178" s="2297"/>
      <c r="DX178" s="2297"/>
      <c r="DY178" s="2297"/>
      <c r="DZ178" s="2297"/>
      <c r="EA178" s="2297"/>
      <c r="EB178" s="2297"/>
      <c r="EC178" s="2297"/>
      <c r="ED178" s="2297"/>
      <c r="EE178" s="2297"/>
      <c r="EF178" s="2297"/>
      <c r="EG178" s="2297"/>
      <c r="EH178" s="2297"/>
      <c r="EI178" s="2297"/>
      <c r="EJ178" s="2297"/>
      <c r="EK178" s="2297"/>
      <c r="EL178" s="2297"/>
      <c r="EM178" s="2297"/>
      <c r="EN178" s="2297"/>
      <c r="EO178" s="2297"/>
      <c r="EP178" s="2297"/>
      <c r="EQ178" s="2297"/>
      <c r="ER178" s="2297"/>
      <c r="ES178" s="2297"/>
      <c r="ET178" s="2297"/>
      <c r="EU178" s="2297"/>
      <c r="EV178" s="2297"/>
      <c r="EW178" s="2297"/>
      <c r="EX178" s="2297"/>
      <c r="EY178" s="2297"/>
      <c r="EZ178" s="2297"/>
      <c r="FA178" s="2297"/>
      <c r="FB178" s="2297"/>
      <c r="FC178" s="2297"/>
      <c r="FD178" s="2297"/>
      <c r="FE178" s="2297"/>
      <c r="FF178" s="2297"/>
      <c r="FG178" s="2297"/>
      <c r="FH178" s="2297"/>
      <c r="FI178" s="2297"/>
      <c r="FJ178" s="2297"/>
      <c r="FK178" s="2297"/>
      <c r="FL178" s="2297"/>
      <c r="FM178" s="2297"/>
      <c r="FN178" s="2297"/>
      <c r="FO178" s="2297"/>
      <c r="FP178" s="2297"/>
      <c r="FQ178" s="2297"/>
      <c r="FR178" s="2297"/>
      <c r="FS178" s="2297"/>
      <c r="FT178" s="2297"/>
      <c r="FU178" s="2297"/>
      <c r="FV178" s="2297"/>
      <c r="FW178" s="2297"/>
      <c r="FX178" s="2297"/>
      <c r="FY178" s="2297"/>
      <c r="FZ178" s="2297"/>
      <c r="GA178" s="2297"/>
      <c r="GB178" s="2297"/>
      <c r="GC178" s="2297"/>
      <c r="GD178" s="2297"/>
      <c r="GE178" s="2297"/>
      <c r="GF178" s="2297"/>
      <c r="GG178" s="2297"/>
      <c r="GH178" s="2297"/>
      <c r="GI178" s="2297"/>
      <c r="GJ178" s="2297"/>
      <c r="GK178" s="2297"/>
      <c r="GL178" s="2297"/>
      <c r="GM178" s="2297"/>
      <c r="GN178" s="2297"/>
      <c r="GO178" s="2297"/>
      <c r="GP178" s="2297"/>
      <c r="GQ178" s="2297"/>
      <c r="GR178" s="2297"/>
      <c r="GS178" s="2297"/>
      <c r="GT178" s="2297"/>
      <c r="GU178" s="2297"/>
      <c r="GV178" s="2297"/>
      <c r="GW178" s="2297"/>
      <c r="GX178" s="2297"/>
      <c r="GY178" s="2297"/>
      <c r="GZ178" s="2297"/>
      <c r="HA178" s="2297"/>
      <c r="HB178" s="2297"/>
      <c r="HC178" s="2297"/>
      <c r="HD178" s="2297"/>
      <c r="HE178" s="2297"/>
      <c r="HF178" s="2297"/>
      <c r="HG178" s="2297"/>
      <c r="HH178" s="2297"/>
      <c r="HI178" s="2297"/>
      <c r="HJ178" s="2297"/>
      <c r="HK178" s="2297"/>
      <c r="HL178" s="2297"/>
      <c r="HM178" s="2297"/>
      <c r="HN178" s="2297"/>
      <c r="HO178" s="2297"/>
      <c r="HP178" s="2297"/>
      <c r="HQ178" s="2297"/>
      <c r="HR178" s="2297"/>
      <c r="HS178" s="2297"/>
      <c r="HT178" s="2297"/>
      <c r="HU178" s="2297"/>
      <c r="HV178" s="2297"/>
      <c r="HW178" s="2297"/>
      <c r="HX178" s="2297"/>
      <c r="HY178" s="2297"/>
      <c r="HZ178" s="2297"/>
      <c r="IA178" s="2297"/>
      <c r="IB178" s="2297"/>
      <c r="IC178" s="2297"/>
      <c r="ID178" s="2297"/>
      <c r="IE178" s="2297"/>
      <c r="IF178" s="2297"/>
      <c r="IG178" s="2297"/>
      <c r="IH178" s="2297"/>
      <c r="II178" s="2297"/>
      <c r="IJ178" s="2297"/>
      <c r="IK178" s="2297"/>
      <c r="IL178" s="2297"/>
      <c r="IM178" s="2297"/>
      <c r="IN178" s="2297"/>
      <c r="IO178" s="2297"/>
      <c r="IP178" s="2297"/>
      <c r="IQ178" s="2297"/>
      <c r="IR178" s="2297"/>
      <c r="IS178" s="2297"/>
      <c r="IT178" s="2297"/>
      <c r="IU178" s="2297"/>
      <c r="IV178" s="2297"/>
    </row>
    <row r="179" spans="1:256">
      <c r="C179" s="2298"/>
      <c r="D179" s="2298"/>
      <c r="E179" s="2298"/>
      <c r="F179" s="2298"/>
      <c r="G179" s="2298"/>
      <c r="H179" s="2298"/>
      <c r="AC179" s="2297"/>
      <c r="AD179" s="2297"/>
      <c r="AE179" s="2297"/>
      <c r="AF179" s="2297"/>
      <c r="AG179" s="2297"/>
      <c r="AH179" s="2297"/>
      <c r="AI179" s="2297"/>
      <c r="AJ179" s="2297"/>
      <c r="AK179" s="2297"/>
      <c r="AL179" s="2297"/>
      <c r="AM179" s="2297"/>
      <c r="AN179" s="2297"/>
      <c r="AO179" s="2297"/>
      <c r="AP179" s="2297"/>
      <c r="AQ179" s="2297"/>
      <c r="AR179" s="2297"/>
      <c r="AS179" s="2297"/>
      <c r="AT179" s="2297"/>
      <c r="AU179" s="2297"/>
      <c r="AV179" s="2297"/>
      <c r="AW179" s="2297"/>
      <c r="AX179" s="2297"/>
      <c r="AY179" s="2297"/>
      <c r="AZ179" s="2297"/>
      <c r="BA179" s="2297"/>
      <c r="BB179" s="2297"/>
      <c r="BC179" s="2297"/>
      <c r="BD179" s="2297"/>
      <c r="BE179" s="2297"/>
      <c r="BF179" s="2297"/>
      <c r="BG179" s="2297"/>
      <c r="BH179" s="2297"/>
      <c r="BI179" s="2297"/>
      <c r="BJ179" s="2297"/>
      <c r="BK179" s="2297"/>
      <c r="BL179" s="2297"/>
      <c r="BM179" s="2297"/>
      <c r="BN179" s="2297"/>
      <c r="BO179" s="2297"/>
      <c r="BP179" s="2297"/>
      <c r="BQ179" s="2297"/>
      <c r="BR179" s="2297"/>
      <c r="BS179" s="2297"/>
      <c r="BT179" s="2297"/>
      <c r="BU179" s="2297"/>
      <c r="BV179" s="2297"/>
      <c r="BW179" s="2297"/>
      <c r="BX179" s="2297"/>
      <c r="BY179" s="2297"/>
      <c r="BZ179" s="2297"/>
      <c r="CA179" s="2297"/>
      <c r="CB179" s="2297"/>
      <c r="CC179" s="2297"/>
      <c r="CD179" s="2297"/>
      <c r="CE179" s="2297"/>
      <c r="CF179" s="2297"/>
      <c r="CG179" s="2297"/>
      <c r="CH179" s="2297"/>
      <c r="CI179" s="2297"/>
      <c r="CJ179" s="2297"/>
      <c r="CK179" s="2297"/>
      <c r="CL179" s="2297"/>
      <c r="CM179" s="2297"/>
      <c r="CN179" s="2297"/>
      <c r="CO179" s="2297"/>
      <c r="CP179" s="2297"/>
      <c r="CQ179" s="2297"/>
      <c r="CR179" s="2297"/>
      <c r="CS179" s="2297"/>
      <c r="CT179" s="2297"/>
      <c r="CU179" s="2297"/>
      <c r="CV179" s="2297"/>
      <c r="CW179" s="2297"/>
      <c r="CX179" s="2297"/>
      <c r="CY179" s="2297"/>
      <c r="CZ179" s="2297"/>
      <c r="DA179" s="2297"/>
      <c r="DB179" s="2297"/>
      <c r="DC179" s="2297"/>
      <c r="DD179" s="2297"/>
      <c r="DE179" s="2297"/>
      <c r="DF179" s="2297"/>
      <c r="DG179" s="2297"/>
      <c r="DH179" s="2297"/>
      <c r="DI179" s="2297"/>
      <c r="DJ179" s="2297"/>
      <c r="DK179" s="2297"/>
      <c r="DL179" s="2297"/>
      <c r="DM179" s="2297"/>
      <c r="DN179" s="2297"/>
      <c r="DO179" s="2297"/>
      <c r="DP179" s="2297"/>
      <c r="DQ179" s="2297"/>
      <c r="DR179" s="2297"/>
      <c r="DS179" s="2297"/>
      <c r="DT179" s="2297"/>
      <c r="DU179" s="2297"/>
      <c r="DV179" s="2297"/>
      <c r="DW179" s="2297"/>
      <c r="DX179" s="2297"/>
      <c r="DY179" s="2297"/>
      <c r="DZ179" s="2297"/>
      <c r="EA179" s="2297"/>
      <c r="EB179" s="2297"/>
      <c r="EC179" s="2297"/>
      <c r="ED179" s="2297"/>
      <c r="EE179" s="2297"/>
      <c r="EF179" s="2297"/>
      <c r="EG179" s="2297"/>
      <c r="EH179" s="2297"/>
      <c r="EI179" s="2297"/>
      <c r="EJ179" s="2297"/>
      <c r="EK179" s="2297"/>
      <c r="EL179" s="2297"/>
      <c r="EM179" s="2297"/>
      <c r="EN179" s="2297"/>
      <c r="EO179" s="2297"/>
      <c r="EP179" s="2297"/>
      <c r="EQ179" s="2297"/>
      <c r="ER179" s="2297"/>
      <c r="ES179" s="2297"/>
      <c r="ET179" s="2297"/>
      <c r="EU179" s="2297"/>
      <c r="EV179" s="2297"/>
      <c r="EW179" s="2297"/>
      <c r="EX179" s="2297"/>
      <c r="EY179" s="2297"/>
      <c r="EZ179" s="2297"/>
      <c r="FA179" s="2297"/>
      <c r="FB179" s="2297"/>
      <c r="FC179" s="2297"/>
      <c r="FD179" s="2297"/>
      <c r="FE179" s="2297"/>
      <c r="FF179" s="2297"/>
      <c r="FG179" s="2297"/>
      <c r="FH179" s="2297"/>
      <c r="FI179" s="2297"/>
      <c r="FJ179" s="2297"/>
      <c r="FK179" s="2297"/>
      <c r="FL179" s="2297"/>
      <c r="FM179" s="2297"/>
      <c r="FN179" s="2297"/>
      <c r="FO179" s="2297"/>
      <c r="FP179" s="2297"/>
      <c r="FQ179" s="2297"/>
      <c r="FR179" s="2297"/>
      <c r="FS179" s="2297"/>
      <c r="FT179" s="2297"/>
      <c r="FU179" s="2297"/>
      <c r="FV179" s="2297"/>
      <c r="FW179" s="2297"/>
      <c r="FX179" s="2297"/>
      <c r="FY179" s="2297"/>
      <c r="FZ179" s="2297"/>
      <c r="GA179" s="2297"/>
      <c r="GB179" s="2297"/>
      <c r="GC179" s="2297"/>
      <c r="GD179" s="2297"/>
      <c r="GE179" s="2297"/>
      <c r="GF179" s="2297"/>
      <c r="GG179" s="2297"/>
      <c r="GH179" s="2297"/>
      <c r="GI179" s="2297"/>
      <c r="GJ179" s="2297"/>
      <c r="GK179" s="2297"/>
      <c r="GL179" s="2297"/>
      <c r="GM179" s="2297"/>
      <c r="GN179" s="2297"/>
      <c r="GO179" s="2297"/>
      <c r="GP179" s="2297"/>
      <c r="GQ179" s="2297"/>
      <c r="GR179" s="2297"/>
      <c r="GS179" s="2297"/>
      <c r="GT179" s="2297"/>
      <c r="GU179" s="2297"/>
      <c r="GV179" s="2297"/>
      <c r="GW179" s="2297"/>
      <c r="GX179" s="2297"/>
      <c r="GY179" s="2297"/>
      <c r="GZ179" s="2297"/>
      <c r="HA179" s="2297"/>
      <c r="HB179" s="2297"/>
      <c r="HC179" s="2297"/>
      <c r="HD179" s="2297"/>
      <c r="HE179" s="2297"/>
      <c r="HF179" s="2297"/>
      <c r="HG179" s="2297"/>
      <c r="HH179" s="2297"/>
      <c r="HI179" s="2297"/>
      <c r="HJ179" s="2297"/>
      <c r="HK179" s="2297"/>
      <c r="HL179" s="2297"/>
      <c r="HM179" s="2297"/>
      <c r="HN179" s="2297"/>
      <c r="HO179" s="2297"/>
      <c r="HP179" s="2297"/>
      <c r="HQ179" s="2297"/>
      <c r="HR179" s="2297"/>
      <c r="HS179" s="2297"/>
      <c r="HT179" s="2297"/>
      <c r="HU179" s="2297"/>
      <c r="HV179" s="2297"/>
      <c r="HW179" s="2297"/>
      <c r="HX179" s="2297"/>
      <c r="HY179" s="2297"/>
      <c r="HZ179" s="2297"/>
      <c r="IA179" s="2297"/>
      <c r="IB179" s="2297"/>
      <c r="IC179" s="2297"/>
      <c r="ID179" s="2297"/>
      <c r="IE179" s="2297"/>
      <c r="IF179" s="2297"/>
      <c r="IG179" s="2297"/>
      <c r="IH179" s="2297"/>
      <c r="II179" s="2297"/>
      <c r="IJ179" s="2297"/>
      <c r="IK179" s="2297"/>
      <c r="IL179" s="2297"/>
      <c r="IM179" s="2297"/>
      <c r="IN179" s="2297"/>
      <c r="IO179" s="2297"/>
      <c r="IP179" s="2297"/>
      <c r="IQ179" s="2297"/>
      <c r="IR179" s="2297"/>
      <c r="IS179" s="2297"/>
      <c r="IT179" s="2297"/>
      <c r="IU179" s="2297"/>
      <c r="IV179" s="2297"/>
    </row>
    <row r="180" spans="1:256">
      <c r="C180" s="2298"/>
      <c r="D180" s="2298"/>
      <c r="E180" s="2298"/>
      <c r="F180" s="2298"/>
      <c r="G180" s="2298"/>
      <c r="H180" s="2298"/>
      <c r="AC180" s="2297"/>
      <c r="AD180" s="2297"/>
      <c r="AE180" s="2297"/>
      <c r="AF180" s="2297"/>
      <c r="AG180" s="2297"/>
      <c r="AH180" s="2297"/>
      <c r="AI180" s="2297"/>
      <c r="AJ180" s="2297"/>
      <c r="AK180" s="2297"/>
      <c r="AL180" s="2297"/>
      <c r="AM180" s="2297"/>
      <c r="AN180" s="2297"/>
      <c r="AO180" s="2297"/>
      <c r="AP180" s="2297"/>
      <c r="AQ180" s="2297"/>
      <c r="AR180" s="2297"/>
      <c r="AS180" s="2297"/>
      <c r="AT180" s="2297"/>
      <c r="AU180" s="2297"/>
      <c r="AV180" s="2297"/>
      <c r="AW180" s="2297"/>
      <c r="AX180" s="2297"/>
      <c r="AY180" s="2297"/>
      <c r="AZ180" s="2297"/>
      <c r="BA180" s="2297"/>
      <c r="BB180" s="2297"/>
      <c r="BC180" s="2297"/>
      <c r="BD180" s="2297"/>
      <c r="BE180" s="2297"/>
      <c r="BF180" s="2297"/>
      <c r="BG180" s="2297"/>
      <c r="BH180" s="2297"/>
      <c r="BI180" s="2297"/>
      <c r="BJ180" s="2297"/>
      <c r="BK180" s="2297"/>
      <c r="BL180" s="2297"/>
      <c r="BM180" s="2297"/>
      <c r="BN180" s="2297"/>
      <c r="BO180" s="2297"/>
      <c r="BP180" s="2297"/>
      <c r="BQ180" s="2297"/>
      <c r="BR180" s="2297"/>
      <c r="BS180" s="2297"/>
      <c r="BT180" s="2297"/>
      <c r="BU180" s="2297"/>
      <c r="BV180" s="2297"/>
      <c r="BW180" s="2297"/>
      <c r="BX180" s="2297"/>
      <c r="BY180" s="2297"/>
      <c r="BZ180" s="2297"/>
      <c r="CA180" s="2297"/>
      <c r="CB180" s="2297"/>
      <c r="CC180" s="2297"/>
      <c r="CD180" s="2297"/>
      <c r="CE180" s="2297"/>
      <c r="CF180" s="2297"/>
      <c r="CG180" s="2297"/>
      <c r="CH180" s="2297"/>
      <c r="CI180" s="2297"/>
      <c r="CJ180" s="2297"/>
      <c r="CK180" s="2297"/>
      <c r="CL180" s="2297"/>
      <c r="CM180" s="2297"/>
      <c r="CN180" s="2297"/>
      <c r="CO180" s="2297"/>
      <c r="CP180" s="2297"/>
      <c r="CQ180" s="2297"/>
      <c r="CR180" s="2297"/>
      <c r="CS180" s="2297"/>
      <c r="CT180" s="2297"/>
      <c r="CU180" s="2297"/>
      <c r="CV180" s="2297"/>
      <c r="CW180" s="2297"/>
      <c r="CX180" s="2297"/>
      <c r="CY180" s="2297"/>
      <c r="CZ180" s="2297"/>
      <c r="DA180" s="2297"/>
      <c r="DB180" s="2297"/>
      <c r="DC180" s="2297"/>
      <c r="DD180" s="2297"/>
      <c r="DE180" s="2297"/>
      <c r="DF180" s="2297"/>
      <c r="DG180" s="2297"/>
      <c r="DH180" s="2297"/>
      <c r="DI180" s="2297"/>
      <c r="DJ180" s="2297"/>
      <c r="DK180" s="2297"/>
      <c r="DL180" s="2297"/>
      <c r="DM180" s="2297"/>
      <c r="DN180" s="2297"/>
      <c r="DO180" s="2297"/>
      <c r="DP180" s="2297"/>
      <c r="DQ180" s="2297"/>
      <c r="DR180" s="2297"/>
      <c r="DS180" s="2297"/>
      <c r="DT180" s="2297"/>
      <c r="DU180" s="2297"/>
      <c r="DV180" s="2297"/>
      <c r="DW180" s="2297"/>
      <c r="DX180" s="2297"/>
      <c r="DY180" s="2297"/>
      <c r="DZ180" s="2297"/>
      <c r="EA180" s="2297"/>
      <c r="EB180" s="2297"/>
      <c r="EC180" s="2297"/>
      <c r="ED180" s="2297"/>
      <c r="EE180" s="2297"/>
      <c r="EF180" s="2297"/>
      <c r="EG180" s="2297"/>
      <c r="EH180" s="2297"/>
      <c r="EI180" s="2297"/>
      <c r="EJ180" s="2297"/>
      <c r="EK180" s="2297"/>
      <c r="EL180" s="2297"/>
      <c r="EM180" s="2297"/>
      <c r="EN180" s="2297"/>
      <c r="EO180" s="2297"/>
      <c r="EP180" s="2297"/>
      <c r="EQ180" s="2297"/>
      <c r="ER180" s="2297"/>
      <c r="ES180" s="2297"/>
      <c r="ET180" s="2297"/>
      <c r="EU180" s="2297"/>
      <c r="EV180" s="2297"/>
      <c r="EW180" s="2297"/>
      <c r="EX180" s="2297"/>
      <c r="EY180" s="2297"/>
      <c r="EZ180" s="2297"/>
      <c r="FA180" s="2297"/>
      <c r="FB180" s="2297"/>
      <c r="FC180" s="2297"/>
      <c r="FD180" s="2297"/>
      <c r="FE180" s="2297"/>
      <c r="FF180" s="2297"/>
      <c r="FG180" s="2297"/>
      <c r="FH180" s="2297"/>
      <c r="FI180" s="2297"/>
      <c r="FJ180" s="2297"/>
      <c r="FK180" s="2297"/>
      <c r="FL180" s="2297"/>
      <c r="FM180" s="2297"/>
      <c r="FN180" s="2297"/>
      <c r="FO180" s="2297"/>
      <c r="FP180" s="2297"/>
      <c r="FQ180" s="2297"/>
      <c r="FR180" s="2297"/>
      <c r="FS180" s="2297"/>
      <c r="FT180" s="2297"/>
      <c r="FU180" s="2297"/>
      <c r="FV180" s="2297"/>
      <c r="FW180" s="2297"/>
      <c r="FX180" s="2297"/>
      <c r="FY180" s="2297"/>
      <c r="FZ180" s="2297"/>
      <c r="GA180" s="2297"/>
      <c r="GB180" s="2297"/>
      <c r="GC180" s="2297"/>
      <c r="GD180" s="2297"/>
      <c r="GE180" s="2297"/>
      <c r="GF180" s="2297"/>
      <c r="GG180" s="2297"/>
      <c r="GH180" s="2297"/>
      <c r="GI180" s="2297"/>
      <c r="GJ180" s="2297"/>
      <c r="GK180" s="2297"/>
      <c r="GL180" s="2297"/>
      <c r="GM180" s="2297"/>
      <c r="GN180" s="2297"/>
      <c r="GO180" s="2297"/>
      <c r="GP180" s="2297"/>
      <c r="GQ180" s="2297"/>
      <c r="GR180" s="2297"/>
      <c r="GS180" s="2297"/>
      <c r="GT180" s="2297"/>
      <c r="GU180" s="2297"/>
      <c r="GV180" s="2297"/>
      <c r="GW180" s="2297"/>
      <c r="GX180" s="2297"/>
      <c r="GY180" s="2297"/>
      <c r="GZ180" s="2297"/>
      <c r="HA180" s="2297"/>
      <c r="HB180" s="2297"/>
      <c r="HC180" s="2297"/>
      <c r="HD180" s="2297"/>
      <c r="HE180" s="2297"/>
      <c r="HF180" s="2297"/>
      <c r="HG180" s="2297"/>
      <c r="HH180" s="2297"/>
      <c r="HI180" s="2297"/>
      <c r="HJ180" s="2297"/>
      <c r="HK180" s="2297"/>
      <c r="HL180" s="2297"/>
      <c r="HM180" s="2297"/>
      <c r="HN180" s="2297"/>
      <c r="HO180" s="2297"/>
      <c r="HP180" s="2297"/>
      <c r="HQ180" s="2297"/>
      <c r="HR180" s="2297"/>
      <c r="HS180" s="2297"/>
      <c r="HT180" s="2297"/>
      <c r="HU180" s="2297"/>
      <c r="HV180" s="2297"/>
      <c r="HW180" s="2297"/>
      <c r="HX180" s="2297"/>
      <c r="HY180" s="2297"/>
      <c r="HZ180" s="2297"/>
      <c r="IA180" s="2297"/>
      <c r="IB180" s="2297"/>
      <c r="IC180" s="2297"/>
      <c r="ID180" s="2297"/>
      <c r="IE180" s="2297"/>
      <c r="IF180" s="2297"/>
      <c r="IG180" s="2297"/>
      <c r="IH180" s="2297"/>
      <c r="II180" s="2297"/>
      <c r="IJ180" s="2297"/>
      <c r="IK180" s="2297"/>
      <c r="IL180" s="2297"/>
      <c r="IM180" s="2297"/>
      <c r="IN180" s="2297"/>
      <c r="IO180" s="2297"/>
      <c r="IP180" s="2297"/>
      <c r="IQ180" s="2297"/>
      <c r="IR180" s="2297"/>
      <c r="IS180" s="2297"/>
      <c r="IT180" s="2297"/>
      <c r="IU180" s="2297"/>
      <c r="IV180" s="2297"/>
    </row>
    <row r="181" spans="1:256">
      <c r="C181" s="2298"/>
      <c r="D181" s="2298"/>
      <c r="E181" s="2298"/>
      <c r="F181" s="2298"/>
      <c r="G181" s="2298"/>
      <c r="H181" s="2298"/>
      <c r="AC181" s="2297"/>
      <c r="AD181" s="2297"/>
      <c r="AE181" s="2297"/>
      <c r="AF181" s="2297"/>
      <c r="AG181" s="2297"/>
      <c r="AH181" s="2297"/>
      <c r="AI181" s="2297"/>
      <c r="AJ181" s="2297"/>
      <c r="AK181" s="2297"/>
      <c r="AL181" s="2297"/>
      <c r="AM181" s="2297"/>
      <c r="AN181" s="2297"/>
      <c r="AO181" s="2297"/>
      <c r="AP181" s="2297"/>
      <c r="AQ181" s="2297"/>
      <c r="AR181" s="2297"/>
      <c r="AS181" s="2297"/>
      <c r="AT181" s="2297"/>
      <c r="AU181" s="2297"/>
      <c r="AV181" s="2297"/>
      <c r="AW181" s="2297"/>
      <c r="AX181" s="2297"/>
      <c r="AY181" s="2297"/>
      <c r="AZ181" s="2297"/>
      <c r="BA181" s="2297"/>
      <c r="BB181" s="2297"/>
      <c r="BC181" s="2297"/>
      <c r="BD181" s="2297"/>
      <c r="BE181" s="2297"/>
      <c r="BF181" s="2297"/>
      <c r="BG181" s="2297"/>
      <c r="BH181" s="2297"/>
      <c r="BI181" s="2297"/>
      <c r="BJ181" s="2297"/>
      <c r="BK181" s="2297"/>
      <c r="BL181" s="2297"/>
      <c r="BM181" s="2297"/>
      <c r="BN181" s="2297"/>
      <c r="BO181" s="2297"/>
      <c r="BP181" s="2297"/>
      <c r="BQ181" s="2297"/>
      <c r="BR181" s="2297"/>
      <c r="BS181" s="2297"/>
      <c r="BT181" s="2297"/>
      <c r="BU181" s="2297"/>
      <c r="BV181" s="2297"/>
      <c r="BW181" s="2297"/>
      <c r="BX181" s="2297"/>
      <c r="BY181" s="2297"/>
      <c r="BZ181" s="2297"/>
      <c r="CA181" s="2297"/>
      <c r="CB181" s="2297"/>
      <c r="CC181" s="2297"/>
      <c r="CD181" s="2297"/>
      <c r="CE181" s="2297"/>
      <c r="CF181" s="2297"/>
      <c r="CG181" s="2297"/>
      <c r="CH181" s="2297"/>
      <c r="CI181" s="2297"/>
      <c r="CJ181" s="2297"/>
      <c r="CK181" s="2297"/>
      <c r="CL181" s="2297"/>
      <c r="CM181" s="2297"/>
      <c r="CN181" s="2297"/>
      <c r="CO181" s="2297"/>
      <c r="CP181" s="2297"/>
      <c r="CQ181" s="2297"/>
      <c r="CR181" s="2297"/>
      <c r="CS181" s="2297"/>
      <c r="CT181" s="2297"/>
      <c r="CU181" s="2297"/>
      <c r="CV181" s="2297"/>
      <c r="CW181" s="2297"/>
      <c r="CX181" s="2297"/>
      <c r="CY181" s="2297"/>
      <c r="CZ181" s="2297"/>
      <c r="DA181" s="2297"/>
      <c r="DB181" s="2297"/>
      <c r="DC181" s="2297"/>
      <c r="DD181" s="2297"/>
      <c r="DE181" s="2297"/>
      <c r="DF181" s="2297"/>
      <c r="DG181" s="2297"/>
      <c r="DH181" s="2297"/>
      <c r="DI181" s="2297"/>
      <c r="DJ181" s="2297"/>
      <c r="DK181" s="2297"/>
      <c r="DL181" s="2297"/>
      <c r="DM181" s="2297"/>
      <c r="DN181" s="2297"/>
      <c r="DO181" s="2297"/>
      <c r="DP181" s="2297"/>
      <c r="DQ181" s="2297"/>
      <c r="DR181" s="2297"/>
      <c r="DS181" s="2297"/>
      <c r="DT181" s="2297"/>
      <c r="DU181" s="2297"/>
      <c r="DV181" s="2297"/>
      <c r="DW181" s="2297"/>
      <c r="DX181" s="2297"/>
      <c r="DY181" s="2297"/>
      <c r="DZ181" s="2297"/>
      <c r="EA181" s="2297"/>
      <c r="EB181" s="2297"/>
      <c r="EC181" s="2297"/>
      <c r="ED181" s="2297"/>
      <c r="EE181" s="2297"/>
      <c r="EF181" s="2297"/>
      <c r="EG181" s="2297"/>
      <c r="EH181" s="2297"/>
      <c r="EI181" s="2297"/>
      <c r="EJ181" s="2297"/>
      <c r="EK181" s="2297"/>
      <c r="EL181" s="2297"/>
      <c r="EM181" s="2297"/>
      <c r="EN181" s="2297"/>
      <c r="EO181" s="2297"/>
      <c r="EP181" s="2297"/>
      <c r="EQ181" s="2297"/>
      <c r="ER181" s="2297"/>
      <c r="ES181" s="2297"/>
      <c r="ET181" s="2297"/>
      <c r="EU181" s="2297"/>
      <c r="EV181" s="2297"/>
      <c r="EW181" s="2297"/>
      <c r="EX181" s="2297"/>
      <c r="EY181" s="2297"/>
      <c r="EZ181" s="2297"/>
      <c r="FA181" s="2297"/>
      <c r="FB181" s="2297"/>
      <c r="FC181" s="2297"/>
      <c r="FD181" s="2297"/>
      <c r="FE181" s="2297"/>
      <c r="FF181" s="2297"/>
      <c r="FG181" s="2297"/>
      <c r="FH181" s="2297"/>
      <c r="FI181" s="2297"/>
      <c r="FJ181" s="2297"/>
      <c r="FK181" s="2297"/>
      <c r="FL181" s="2297"/>
      <c r="FM181" s="2297"/>
      <c r="FN181" s="2297"/>
      <c r="FO181" s="2297"/>
      <c r="FP181" s="2297"/>
      <c r="FQ181" s="2297"/>
      <c r="FR181" s="2297"/>
      <c r="FS181" s="2297"/>
      <c r="FT181" s="2297"/>
      <c r="FU181" s="2297"/>
      <c r="FV181" s="2297"/>
      <c r="FW181" s="2297"/>
      <c r="FX181" s="2297"/>
      <c r="FY181" s="2297"/>
      <c r="FZ181" s="2297"/>
      <c r="GA181" s="2297"/>
      <c r="GB181" s="2297"/>
      <c r="GC181" s="2297"/>
      <c r="GD181" s="2297"/>
      <c r="GE181" s="2297"/>
      <c r="GF181" s="2297"/>
      <c r="GG181" s="2297"/>
      <c r="GH181" s="2297"/>
      <c r="GI181" s="2297"/>
      <c r="GJ181" s="2297"/>
      <c r="GK181" s="2297"/>
      <c r="GL181" s="2297"/>
      <c r="GM181" s="2297"/>
      <c r="GN181" s="2297"/>
      <c r="GO181" s="2297"/>
      <c r="GP181" s="2297"/>
      <c r="GQ181" s="2297"/>
      <c r="GR181" s="2297"/>
      <c r="GS181" s="2297"/>
      <c r="GT181" s="2297"/>
      <c r="GU181" s="2297"/>
      <c r="GV181" s="2297"/>
      <c r="GW181" s="2297"/>
      <c r="GX181" s="2297"/>
      <c r="GY181" s="2297"/>
      <c r="GZ181" s="2297"/>
      <c r="HA181" s="2297"/>
      <c r="HB181" s="2297"/>
      <c r="HC181" s="2297"/>
      <c r="HD181" s="2297"/>
      <c r="HE181" s="2297"/>
      <c r="HF181" s="2297"/>
      <c r="HG181" s="2297"/>
      <c r="HH181" s="2297"/>
      <c r="HI181" s="2297"/>
      <c r="HJ181" s="2297"/>
      <c r="HK181" s="2297"/>
      <c r="HL181" s="2297"/>
      <c r="HM181" s="2297"/>
      <c r="HN181" s="2297"/>
      <c r="HO181" s="2297"/>
      <c r="HP181" s="2297"/>
      <c r="HQ181" s="2297"/>
      <c r="HR181" s="2297"/>
      <c r="HS181" s="2297"/>
      <c r="HT181" s="2297"/>
      <c r="HU181" s="2297"/>
      <c r="HV181" s="2297"/>
      <c r="HW181" s="2297"/>
      <c r="HX181" s="2297"/>
      <c r="HY181" s="2297"/>
      <c r="HZ181" s="2297"/>
      <c r="IA181" s="2297"/>
      <c r="IB181" s="2297"/>
      <c r="IC181" s="2297"/>
      <c r="ID181" s="2297"/>
      <c r="IE181" s="2297"/>
      <c r="IF181" s="2297"/>
      <c r="IG181" s="2297"/>
      <c r="IH181" s="2297"/>
      <c r="II181" s="2297"/>
      <c r="IJ181" s="2297"/>
      <c r="IK181" s="2297"/>
      <c r="IL181" s="2297"/>
      <c r="IM181" s="2297"/>
      <c r="IN181" s="2297"/>
      <c r="IO181" s="2297"/>
      <c r="IP181" s="2297"/>
      <c r="IQ181" s="2297"/>
      <c r="IR181" s="2297"/>
      <c r="IS181" s="2297"/>
      <c r="IT181" s="2297"/>
      <c r="IU181" s="2297"/>
      <c r="IV181" s="2297"/>
    </row>
    <row r="182" spans="1:256">
      <c r="C182" s="2298"/>
      <c r="D182" s="2298"/>
      <c r="E182" s="2298"/>
      <c r="F182" s="2298"/>
      <c r="G182" s="2298"/>
      <c r="H182" s="2298"/>
      <c r="AC182" s="2297"/>
      <c r="AD182" s="2297"/>
      <c r="AE182" s="2297"/>
      <c r="AF182" s="2297"/>
      <c r="AG182" s="2297"/>
      <c r="AH182" s="2297"/>
      <c r="AI182" s="2297"/>
      <c r="AJ182" s="2297"/>
      <c r="AK182" s="2297"/>
      <c r="AL182" s="2297"/>
      <c r="AM182" s="2297"/>
      <c r="AN182" s="2297"/>
      <c r="AO182" s="2297"/>
      <c r="AP182" s="2297"/>
      <c r="AQ182" s="2297"/>
      <c r="AR182" s="2297"/>
      <c r="AS182" s="2297"/>
      <c r="AT182" s="2297"/>
      <c r="AU182" s="2297"/>
      <c r="AV182" s="2297"/>
      <c r="AW182" s="2297"/>
      <c r="AX182" s="2297"/>
      <c r="AY182" s="2297"/>
      <c r="AZ182" s="2297"/>
      <c r="BA182" s="2297"/>
      <c r="BB182" s="2297"/>
      <c r="BC182" s="2297"/>
      <c r="BD182" s="2297"/>
      <c r="BE182" s="2297"/>
      <c r="BF182" s="2297"/>
      <c r="BG182" s="2297"/>
      <c r="BH182" s="2297"/>
      <c r="BI182" s="2297"/>
      <c r="BJ182" s="2297"/>
      <c r="BK182" s="2297"/>
      <c r="BL182" s="2297"/>
      <c r="BM182" s="2297"/>
      <c r="BN182" s="2297"/>
      <c r="BO182" s="2297"/>
      <c r="BP182" s="2297"/>
      <c r="BQ182" s="2297"/>
      <c r="BR182" s="2297"/>
      <c r="BS182" s="2297"/>
      <c r="BT182" s="2297"/>
      <c r="BU182" s="2297"/>
      <c r="BV182" s="2297"/>
      <c r="BW182" s="2297"/>
      <c r="BX182" s="2297"/>
      <c r="BY182" s="2297"/>
      <c r="BZ182" s="2297"/>
      <c r="CA182" s="2297"/>
      <c r="CB182" s="2297"/>
      <c r="CC182" s="2297"/>
      <c r="CD182" s="2297"/>
      <c r="CE182" s="2297"/>
      <c r="CF182" s="2297"/>
      <c r="CG182" s="2297"/>
      <c r="CH182" s="2297"/>
      <c r="CI182" s="2297"/>
      <c r="CJ182" s="2297"/>
      <c r="CK182" s="2297"/>
      <c r="CL182" s="2297"/>
      <c r="CM182" s="2297"/>
      <c r="CN182" s="2297"/>
      <c r="CO182" s="2297"/>
      <c r="CP182" s="2297"/>
      <c r="CQ182" s="2297"/>
      <c r="CR182" s="2297"/>
      <c r="CS182" s="2297"/>
      <c r="CT182" s="2297"/>
      <c r="CU182" s="2297"/>
      <c r="CV182" s="2297"/>
      <c r="CW182" s="2297"/>
      <c r="CX182" s="2297"/>
      <c r="CY182" s="2297"/>
      <c r="CZ182" s="2297"/>
      <c r="DA182" s="2297"/>
      <c r="DB182" s="2297"/>
      <c r="DC182" s="2297"/>
      <c r="DD182" s="2297"/>
      <c r="DE182" s="2297"/>
      <c r="DF182" s="2297"/>
      <c r="DG182" s="2297"/>
      <c r="DH182" s="2297"/>
      <c r="DI182" s="2297"/>
      <c r="DJ182" s="2297"/>
      <c r="DK182" s="2297"/>
      <c r="DL182" s="2297"/>
      <c r="DM182" s="2297"/>
      <c r="DN182" s="2297"/>
      <c r="DO182" s="2297"/>
      <c r="DP182" s="2297"/>
      <c r="DQ182" s="2297"/>
      <c r="DR182" s="2297"/>
      <c r="DS182" s="2297"/>
      <c r="DT182" s="2297"/>
      <c r="DU182" s="2297"/>
      <c r="DV182" s="2297"/>
      <c r="DW182" s="2297"/>
      <c r="DX182" s="2297"/>
      <c r="DY182" s="2297"/>
      <c r="DZ182" s="2297"/>
      <c r="EA182" s="2297"/>
      <c r="EB182" s="2297"/>
      <c r="EC182" s="2297"/>
      <c r="ED182" s="2297"/>
      <c r="EE182" s="2297"/>
      <c r="EF182" s="2297"/>
      <c r="EG182" s="2297"/>
      <c r="EH182" s="2297"/>
      <c r="EI182" s="2297"/>
      <c r="EJ182" s="2297"/>
      <c r="EK182" s="2297"/>
      <c r="EL182" s="2297"/>
      <c r="EM182" s="2297"/>
      <c r="EN182" s="2297"/>
      <c r="EO182" s="2297"/>
      <c r="EP182" s="2297"/>
      <c r="EQ182" s="2297"/>
      <c r="ER182" s="2297"/>
      <c r="ES182" s="2297"/>
      <c r="ET182" s="2297"/>
      <c r="EU182" s="2297"/>
      <c r="EV182" s="2297"/>
      <c r="EW182" s="2297"/>
      <c r="EX182" s="2297"/>
      <c r="EY182" s="2297"/>
      <c r="EZ182" s="2297"/>
      <c r="FA182" s="2297"/>
      <c r="FB182" s="2297"/>
      <c r="FC182" s="2297"/>
      <c r="FD182" s="2297"/>
      <c r="FE182" s="2297"/>
      <c r="FF182" s="2297"/>
      <c r="FG182" s="2297"/>
      <c r="FH182" s="2297"/>
      <c r="FI182" s="2297"/>
      <c r="FJ182" s="2297"/>
      <c r="FK182" s="2297"/>
      <c r="FL182" s="2297"/>
      <c r="FM182" s="2297"/>
      <c r="FN182" s="2297"/>
      <c r="FO182" s="2297"/>
      <c r="FP182" s="2297"/>
      <c r="FQ182" s="2297"/>
      <c r="FR182" s="2297"/>
      <c r="FS182" s="2297"/>
      <c r="FT182" s="2297"/>
      <c r="FU182" s="2297"/>
      <c r="FV182" s="2297"/>
      <c r="FW182" s="2297"/>
      <c r="FX182" s="2297"/>
      <c r="FY182" s="2297"/>
      <c r="FZ182" s="2297"/>
      <c r="GA182" s="2297"/>
      <c r="GB182" s="2297"/>
      <c r="GC182" s="2297"/>
      <c r="GD182" s="2297"/>
      <c r="GE182" s="2297"/>
      <c r="GF182" s="2297"/>
      <c r="GG182" s="2297"/>
      <c r="GH182" s="2297"/>
      <c r="GI182" s="2297"/>
      <c r="GJ182" s="2297"/>
      <c r="GK182" s="2297"/>
      <c r="GL182" s="2297"/>
      <c r="GM182" s="2297"/>
      <c r="GN182" s="2297"/>
      <c r="GO182" s="2297"/>
      <c r="GP182" s="2297"/>
      <c r="GQ182" s="2297"/>
      <c r="GR182" s="2297"/>
      <c r="GS182" s="2297"/>
      <c r="GT182" s="2297"/>
      <c r="GU182" s="2297"/>
      <c r="GV182" s="2297"/>
      <c r="GW182" s="2297"/>
      <c r="GX182" s="2297"/>
      <c r="GY182" s="2297"/>
      <c r="GZ182" s="2297"/>
      <c r="HA182" s="2297"/>
      <c r="HB182" s="2297"/>
      <c r="HC182" s="2297"/>
      <c r="HD182" s="2297"/>
      <c r="HE182" s="2297"/>
      <c r="HF182" s="2297"/>
      <c r="HG182" s="2297"/>
      <c r="HH182" s="2297"/>
      <c r="HI182" s="2297"/>
      <c r="HJ182" s="2297"/>
      <c r="HK182" s="2297"/>
      <c r="HL182" s="2297"/>
      <c r="HM182" s="2297"/>
      <c r="HN182" s="2297"/>
      <c r="HO182" s="2297"/>
      <c r="HP182" s="2297"/>
      <c r="HQ182" s="2297"/>
      <c r="HR182" s="2297"/>
      <c r="HS182" s="2297"/>
      <c r="HT182" s="2297"/>
      <c r="HU182" s="2297"/>
      <c r="HV182" s="2297"/>
      <c r="HW182" s="2297"/>
      <c r="HX182" s="2297"/>
      <c r="HY182" s="2297"/>
      <c r="HZ182" s="2297"/>
      <c r="IA182" s="2297"/>
      <c r="IB182" s="2297"/>
      <c r="IC182" s="2297"/>
      <c r="ID182" s="2297"/>
      <c r="IE182" s="2297"/>
      <c r="IF182" s="2297"/>
      <c r="IG182" s="2297"/>
      <c r="IH182" s="2297"/>
      <c r="II182" s="2297"/>
      <c r="IJ182" s="2297"/>
      <c r="IK182" s="2297"/>
      <c r="IL182" s="2297"/>
      <c r="IM182" s="2297"/>
      <c r="IN182" s="2297"/>
      <c r="IO182" s="2297"/>
      <c r="IP182" s="2297"/>
      <c r="IQ182" s="2297"/>
      <c r="IR182" s="2297"/>
      <c r="IS182" s="2297"/>
      <c r="IT182" s="2297"/>
      <c r="IU182" s="2297"/>
      <c r="IV182" s="2297"/>
    </row>
    <row r="183" spans="1:256">
      <c r="C183" s="2298"/>
      <c r="D183" s="2298"/>
      <c r="E183" s="2298"/>
      <c r="F183" s="2298"/>
      <c r="G183" s="2298"/>
      <c r="H183" s="2298"/>
      <c r="AC183" s="2297"/>
      <c r="AD183" s="2297"/>
      <c r="AE183" s="2297"/>
      <c r="AF183" s="2297"/>
      <c r="AG183" s="2297"/>
      <c r="AH183" s="2297"/>
      <c r="AI183" s="2297"/>
      <c r="AJ183" s="2297"/>
      <c r="AK183" s="2297"/>
      <c r="AL183" s="2297"/>
      <c r="AM183" s="2297"/>
      <c r="AN183" s="2297"/>
      <c r="AO183" s="2297"/>
      <c r="AP183" s="2297"/>
      <c r="AQ183" s="2297"/>
      <c r="AR183" s="2297"/>
      <c r="AS183" s="2297"/>
      <c r="AT183" s="2297"/>
      <c r="AU183" s="2297"/>
      <c r="AV183" s="2297"/>
      <c r="AW183" s="2297"/>
      <c r="AX183" s="2297"/>
      <c r="AY183" s="2297"/>
      <c r="AZ183" s="2297"/>
      <c r="BA183" s="2297"/>
      <c r="BB183" s="2297"/>
      <c r="BC183" s="2297"/>
      <c r="BD183" s="2297"/>
      <c r="BE183" s="2297"/>
      <c r="BF183" s="2297"/>
      <c r="BG183" s="2297"/>
      <c r="BH183" s="2297"/>
      <c r="BI183" s="2297"/>
      <c r="BJ183" s="2297"/>
      <c r="BK183" s="2297"/>
      <c r="BL183" s="2297"/>
      <c r="BM183" s="2297"/>
      <c r="BN183" s="2297"/>
      <c r="BO183" s="2297"/>
      <c r="BP183" s="2297"/>
      <c r="BQ183" s="2297"/>
      <c r="BR183" s="2297"/>
      <c r="BS183" s="2297"/>
      <c r="BT183" s="2297"/>
      <c r="BU183" s="2297"/>
      <c r="BV183" s="2297"/>
      <c r="BW183" s="2297"/>
      <c r="BX183" s="2297"/>
      <c r="BY183" s="2297"/>
      <c r="BZ183" s="2297"/>
      <c r="CA183" s="2297"/>
      <c r="CB183" s="2297"/>
      <c r="CC183" s="2297"/>
      <c r="CD183" s="2297"/>
      <c r="CE183" s="2297"/>
      <c r="CF183" s="2297"/>
      <c r="CG183" s="2297"/>
      <c r="CH183" s="2297"/>
      <c r="CI183" s="2297"/>
      <c r="CJ183" s="2297"/>
      <c r="CK183" s="2297"/>
      <c r="CL183" s="2297"/>
      <c r="CM183" s="2297"/>
      <c r="CN183" s="2297"/>
      <c r="CO183" s="2297"/>
      <c r="CP183" s="2297"/>
      <c r="CQ183" s="2297"/>
      <c r="CR183" s="2297"/>
      <c r="CS183" s="2297"/>
      <c r="CT183" s="2297"/>
      <c r="CU183" s="2297"/>
      <c r="CV183" s="2297"/>
      <c r="CW183" s="2297"/>
      <c r="CX183" s="2297"/>
      <c r="CY183" s="2297"/>
      <c r="CZ183" s="2297"/>
      <c r="DA183" s="2297"/>
      <c r="DB183" s="2297"/>
      <c r="DC183" s="2297"/>
      <c r="DD183" s="2297"/>
      <c r="DE183" s="2297"/>
      <c r="DF183" s="2297"/>
      <c r="DG183" s="2297"/>
      <c r="DH183" s="2297"/>
      <c r="DI183" s="2297"/>
      <c r="DJ183" s="2297"/>
      <c r="DK183" s="2297"/>
      <c r="DL183" s="2297"/>
      <c r="DM183" s="2297"/>
      <c r="DN183" s="2297"/>
      <c r="DO183" s="2297"/>
      <c r="DP183" s="2297"/>
      <c r="DQ183" s="2297"/>
      <c r="DR183" s="2297"/>
      <c r="DS183" s="2297"/>
      <c r="DT183" s="2297"/>
      <c r="DU183" s="2297"/>
      <c r="DV183" s="2297"/>
      <c r="DW183" s="2297"/>
      <c r="DX183" s="2297"/>
      <c r="DY183" s="2297"/>
      <c r="DZ183" s="2297"/>
      <c r="EA183" s="2297"/>
      <c r="EB183" s="2297"/>
      <c r="EC183" s="2297"/>
      <c r="ED183" s="2297"/>
      <c r="EE183" s="2297"/>
      <c r="EF183" s="2297"/>
      <c r="EG183" s="2297"/>
      <c r="EH183" s="2297"/>
      <c r="EI183" s="2297"/>
      <c r="EJ183" s="2297"/>
      <c r="EK183" s="2297"/>
      <c r="EL183" s="2297"/>
      <c r="EM183" s="2297"/>
      <c r="EN183" s="2297"/>
      <c r="EO183" s="2297"/>
      <c r="EP183" s="2297"/>
      <c r="EQ183" s="2297"/>
      <c r="ER183" s="2297"/>
      <c r="ES183" s="2297"/>
      <c r="ET183" s="2297"/>
      <c r="EU183" s="2297"/>
      <c r="EV183" s="2297"/>
      <c r="EW183" s="2297"/>
      <c r="EX183" s="2297"/>
      <c r="EY183" s="2297"/>
      <c r="EZ183" s="2297"/>
      <c r="FA183" s="2297"/>
      <c r="FB183" s="2297"/>
      <c r="FC183" s="2297"/>
      <c r="FD183" s="2297"/>
      <c r="FE183" s="2297"/>
      <c r="FF183" s="2297"/>
      <c r="FG183" s="2297"/>
      <c r="FH183" s="2297"/>
      <c r="FI183" s="2297"/>
      <c r="FJ183" s="2297"/>
      <c r="FK183" s="2297"/>
      <c r="FL183" s="2297"/>
      <c r="FM183" s="2297"/>
      <c r="FN183" s="2297"/>
      <c r="FO183" s="2297"/>
      <c r="FP183" s="2297"/>
      <c r="FQ183" s="2297"/>
      <c r="FR183" s="2297"/>
      <c r="FS183" s="2297"/>
      <c r="FT183" s="2297"/>
      <c r="FU183" s="2297"/>
      <c r="FV183" s="2297"/>
      <c r="FW183" s="2297"/>
      <c r="FX183" s="2297"/>
      <c r="FY183" s="2297"/>
      <c r="FZ183" s="2297"/>
      <c r="GA183" s="2297"/>
      <c r="GB183" s="2297"/>
      <c r="GC183" s="2297"/>
      <c r="GD183" s="2297"/>
      <c r="GE183" s="2297"/>
      <c r="GF183" s="2297"/>
      <c r="GG183" s="2297"/>
      <c r="GH183" s="2297"/>
      <c r="GI183" s="2297"/>
      <c r="GJ183" s="2297"/>
      <c r="GK183" s="2297"/>
      <c r="GL183" s="2297"/>
      <c r="GM183" s="2297"/>
      <c r="GN183" s="2297"/>
      <c r="GO183" s="2297"/>
      <c r="GP183" s="2297"/>
      <c r="GQ183" s="2297"/>
      <c r="GR183" s="2297"/>
      <c r="GS183" s="2297"/>
      <c r="GT183" s="2297"/>
      <c r="GU183" s="2297"/>
      <c r="GV183" s="2297"/>
      <c r="GW183" s="2297"/>
      <c r="GX183" s="2297"/>
      <c r="GY183" s="2297"/>
      <c r="GZ183" s="2297"/>
      <c r="HA183" s="2297"/>
      <c r="HB183" s="2297"/>
      <c r="HC183" s="2297"/>
      <c r="HD183" s="2297"/>
      <c r="HE183" s="2297"/>
      <c r="HF183" s="2297"/>
      <c r="HG183" s="2297"/>
      <c r="HH183" s="2297"/>
      <c r="HI183" s="2297"/>
      <c r="HJ183" s="2297"/>
      <c r="HK183" s="2297"/>
      <c r="HL183" s="2297"/>
      <c r="HM183" s="2297"/>
      <c r="HN183" s="2297"/>
      <c r="HO183" s="2297"/>
      <c r="HP183" s="2297"/>
      <c r="HQ183" s="2297"/>
      <c r="HR183" s="2297"/>
      <c r="HS183" s="2297"/>
      <c r="HT183" s="2297"/>
      <c r="HU183" s="2297"/>
      <c r="HV183" s="2297"/>
      <c r="HW183" s="2297"/>
      <c r="HX183" s="2297"/>
      <c r="HY183" s="2297"/>
      <c r="HZ183" s="2297"/>
      <c r="IA183" s="2297"/>
      <c r="IB183" s="2297"/>
      <c r="IC183" s="2297"/>
      <c r="ID183" s="2297"/>
      <c r="IE183" s="2297"/>
      <c r="IF183" s="2297"/>
      <c r="IG183" s="2297"/>
      <c r="IH183" s="2297"/>
      <c r="II183" s="2297"/>
      <c r="IJ183" s="2297"/>
      <c r="IK183" s="2297"/>
      <c r="IL183" s="2297"/>
      <c r="IM183" s="2297"/>
      <c r="IN183" s="2297"/>
      <c r="IO183" s="2297"/>
      <c r="IP183" s="2297"/>
      <c r="IQ183" s="2297"/>
      <c r="IR183" s="2297"/>
      <c r="IS183" s="2297"/>
      <c r="IT183" s="2297"/>
      <c r="IU183" s="2297"/>
      <c r="IV183" s="2297"/>
    </row>
    <row r="184" spans="1:256">
      <c r="C184" s="2298"/>
      <c r="D184" s="2298"/>
      <c r="E184" s="2298"/>
      <c r="F184" s="2298"/>
      <c r="G184" s="2298"/>
      <c r="H184" s="2298"/>
      <c r="AC184" s="2297"/>
      <c r="AD184" s="2297"/>
      <c r="AE184" s="2297"/>
      <c r="AF184" s="2297"/>
      <c r="AG184" s="2297"/>
      <c r="AH184" s="2297"/>
      <c r="AI184" s="2297"/>
      <c r="AJ184" s="2297"/>
      <c r="AK184" s="2297"/>
      <c r="AL184" s="2297"/>
      <c r="AM184" s="2297"/>
      <c r="AN184" s="2297"/>
      <c r="AO184" s="2297"/>
      <c r="AP184" s="2297"/>
      <c r="AQ184" s="2297"/>
      <c r="AR184" s="2297"/>
      <c r="AS184" s="2297"/>
      <c r="AT184" s="2297"/>
      <c r="AU184" s="2297"/>
      <c r="AV184" s="2297"/>
      <c r="AW184" s="2297"/>
      <c r="AX184" s="2297"/>
      <c r="AY184" s="2297"/>
      <c r="AZ184" s="2297"/>
      <c r="BA184" s="2297"/>
      <c r="BB184" s="2297"/>
      <c r="BC184" s="2297"/>
      <c r="BD184" s="2297"/>
      <c r="BE184" s="2297"/>
      <c r="BF184" s="2297"/>
      <c r="BG184" s="2297"/>
      <c r="BH184" s="2297"/>
      <c r="BI184" s="2297"/>
      <c r="BJ184" s="2297"/>
      <c r="BK184" s="2297"/>
      <c r="BL184" s="2297"/>
      <c r="BM184" s="2297"/>
      <c r="BN184" s="2297"/>
      <c r="BO184" s="2297"/>
      <c r="BP184" s="2297"/>
      <c r="BQ184" s="2297"/>
      <c r="BR184" s="2297"/>
      <c r="BS184" s="2297"/>
      <c r="BT184" s="2297"/>
      <c r="BU184" s="2297"/>
      <c r="BV184" s="2297"/>
      <c r="BW184" s="2297"/>
      <c r="BX184" s="2297"/>
      <c r="BY184" s="2297"/>
      <c r="BZ184" s="2297"/>
      <c r="CA184" s="2297"/>
      <c r="CB184" s="2297"/>
      <c r="CC184" s="2297"/>
      <c r="CD184" s="2297"/>
      <c r="CE184" s="2297"/>
      <c r="CF184" s="2297"/>
      <c r="CG184" s="2297"/>
      <c r="CH184" s="2297"/>
      <c r="CI184" s="2297"/>
      <c r="CJ184" s="2297"/>
      <c r="CK184" s="2297"/>
      <c r="CL184" s="2297"/>
      <c r="CM184" s="2297"/>
      <c r="CN184" s="2297"/>
      <c r="CO184" s="2297"/>
      <c r="CP184" s="2297"/>
      <c r="CQ184" s="2297"/>
      <c r="CR184" s="2297"/>
      <c r="CS184" s="2297"/>
      <c r="CT184" s="2297"/>
      <c r="CU184" s="2297"/>
      <c r="CV184" s="2297"/>
      <c r="CW184" s="2297"/>
      <c r="CX184" s="2297"/>
      <c r="CY184" s="2297"/>
      <c r="CZ184" s="2297"/>
      <c r="DA184" s="2297"/>
      <c r="DB184" s="2297"/>
      <c r="DC184" s="2297"/>
      <c r="DD184" s="2297"/>
      <c r="DE184" s="2297"/>
      <c r="DF184" s="2297"/>
      <c r="DG184" s="2297"/>
      <c r="DH184" s="2297"/>
      <c r="DI184" s="2297"/>
      <c r="DJ184" s="2297"/>
      <c r="DK184" s="2297"/>
      <c r="DL184" s="2297"/>
      <c r="DM184" s="2297"/>
      <c r="DN184" s="2297"/>
      <c r="DO184" s="2297"/>
      <c r="DP184" s="2297"/>
      <c r="DQ184" s="2297"/>
      <c r="DR184" s="2297"/>
      <c r="DS184" s="2297"/>
      <c r="DT184" s="2297"/>
      <c r="DU184" s="2297"/>
      <c r="DV184" s="2297"/>
      <c r="DW184" s="2297"/>
      <c r="DX184" s="2297"/>
      <c r="DY184" s="2297"/>
      <c r="DZ184" s="2297"/>
      <c r="EA184" s="2297"/>
      <c r="EB184" s="2297"/>
      <c r="EC184" s="2297"/>
      <c r="ED184" s="2297"/>
      <c r="EE184" s="2297"/>
      <c r="EF184" s="2297"/>
      <c r="EG184" s="2297"/>
      <c r="EH184" s="2297"/>
      <c r="EI184" s="2297"/>
      <c r="EJ184" s="2297"/>
      <c r="EK184" s="2297"/>
      <c r="EL184" s="2297"/>
      <c r="EM184" s="2297"/>
      <c r="EN184" s="2297"/>
      <c r="EO184" s="2297"/>
      <c r="EP184" s="2297"/>
      <c r="EQ184" s="2297"/>
      <c r="ER184" s="2297"/>
      <c r="ES184" s="2297"/>
      <c r="ET184" s="2297"/>
      <c r="EU184" s="2297"/>
      <c r="EV184" s="2297"/>
      <c r="EW184" s="2297"/>
      <c r="EX184" s="2297"/>
      <c r="EY184" s="2297"/>
      <c r="EZ184" s="2297"/>
      <c r="FA184" s="2297"/>
      <c r="FB184" s="2297"/>
      <c r="FC184" s="2297"/>
      <c r="FD184" s="2297"/>
      <c r="FE184" s="2297"/>
      <c r="FF184" s="2297"/>
      <c r="FG184" s="2297"/>
      <c r="FH184" s="2297"/>
      <c r="FI184" s="2297"/>
      <c r="FJ184" s="2297"/>
      <c r="FK184" s="2297"/>
      <c r="FL184" s="2297"/>
      <c r="FM184" s="2297"/>
      <c r="FN184" s="2297"/>
      <c r="FO184" s="2297"/>
      <c r="FP184" s="2297"/>
      <c r="FQ184" s="2297"/>
      <c r="FR184" s="2297"/>
      <c r="FS184" s="2297"/>
      <c r="FT184" s="2297"/>
      <c r="FU184" s="2297"/>
      <c r="FV184" s="2297"/>
      <c r="FW184" s="2297"/>
      <c r="FX184" s="2297"/>
      <c r="FY184" s="2297"/>
      <c r="FZ184" s="2297"/>
      <c r="GA184" s="2297"/>
      <c r="GB184" s="2297"/>
      <c r="GC184" s="2297"/>
      <c r="GD184" s="2297"/>
      <c r="GE184" s="2297"/>
      <c r="GF184" s="2297"/>
      <c r="GG184" s="2297"/>
      <c r="GH184" s="2297"/>
      <c r="GI184" s="2297"/>
      <c r="GJ184" s="2297"/>
      <c r="GK184" s="2297"/>
      <c r="GL184" s="2297"/>
      <c r="GM184" s="2297"/>
      <c r="GN184" s="2297"/>
      <c r="GO184" s="2297"/>
      <c r="GP184" s="2297"/>
      <c r="GQ184" s="2297"/>
      <c r="GR184" s="2297"/>
      <c r="GS184" s="2297"/>
      <c r="GT184" s="2297"/>
      <c r="GU184" s="2297"/>
      <c r="GV184" s="2297"/>
      <c r="GW184" s="2297"/>
      <c r="GX184" s="2297"/>
      <c r="GY184" s="2297"/>
      <c r="GZ184" s="2297"/>
      <c r="HA184" s="2297"/>
      <c r="HB184" s="2297"/>
      <c r="HC184" s="2297"/>
      <c r="HD184" s="2297"/>
      <c r="HE184" s="2297"/>
      <c r="HF184" s="2297"/>
      <c r="HG184" s="2297"/>
      <c r="HH184" s="2297"/>
      <c r="HI184" s="2297"/>
      <c r="HJ184" s="2297"/>
      <c r="HK184" s="2297"/>
      <c r="HL184" s="2297"/>
      <c r="HM184" s="2297"/>
      <c r="HN184" s="2297"/>
      <c r="HO184" s="2297"/>
      <c r="HP184" s="2297"/>
      <c r="HQ184" s="2297"/>
      <c r="HR184" s="2297"/>
      <c r="HS184" s="2297"/>
      <c r="HT184" s="2297"/>
      <c r="HU184" s="2297"/>
      <c r="HV184" s="2297"/>
      <c r="HW184" s="2297"/>
      <c r="HX184" s="2297"/>
      <c r="HY184" s="2297"/>
      <c r="HZ184" s="2297"/>
      <c r="IA184" s="2297"/>
      <c r="IB184" s="2297"/>
      <c r="IC184" s="2297"/>
      <c r="ID184" s="2297"/>
      <c r="IE184" s="2297"/>
      <c r="IF184" s="2297"/>
      <c r="IG184" s="2297"/>
      <c r="IH184" s="2297"/>
      <c r="II184" s="2297"/>
      <c r="IJ184" s="2297"/>
      <c r="IK184" s="2297"/>
      <c r="IL184" s="2297"/>
      <c r="IM184" s="2297"/>
      <c r="IN184" s="2297"/>
      <c r="IO184" s="2297"/>
      <c r="IP184" s="2297"/>
      <c r="IQ184" s="2297"/>
      <c r="IR184" s="2297"/>
      <c r="IS184" s="2297"/>
      <c r="IT184" s="2297"/>
      <c r="IU184" s="2297"/>
      <c r="IV184" s="2297"/>
    </row>
    <row r="185" spans="1:256">
      <c r="C185" s="2298"/>
      <c r="D185" s="2298"/>
      <c r="E185" s="2298"/>
      <c r="F185" s="2298"/>
      <c r="G185" s="2298"/>
      <c r="H185" s="2298"/>
      <c r="AC185" s="2297"/>
      <c r="AD185" s="2297"/>
      <c r="AE185" s="2297"/>
      <c r="AF185" s="2297"/>
      <c r="AG185" s="2297"/>
      <c r="AH185" s="2297"/>
      <c r="AI185" s="2297"/>
      <c r="AJ185" s="2297"/>
      <c r="AK185" s="2297"/>
      <c r="AL185" s="2297"/>
      <c r="AM185" s="2297"/>
      <c r="AN185" s="2297"/>
      <c r="AO185" s="2297"/>
      <c r="AP185" s="2297"/>
      <c r="AQ185" s="2297"/>
      <c r="AR185" s="2297"/>
      <c r="AS185" s="2297"/>
      <c r="AT185" s="2297"/>
      <c r="AU185" s="2297"/>
      <c r="AV185" s="2297"/>
      <c r="AW185" s="2297"/>
      <c r="AX185" s="2297"/>
      <c r="AY185" s="2297"/>
      <c r="AZ185" s="2297"/>
      <c r="BA185" s="2297"/>
      <c r="BB185" s="2297"/>
      <c r="BC185" s="2297"/>
      <c r="BD185" s="2297"/>
      <c r="BE185" s="2297"/>
      <c r="BF185" s="2297"/>
      <c r="BG185" s="2297"/>
      <c r="BH185" s="2297"/>
      <c r="BI185" s="2297"/>
      <c r="BJ185" s="2297"/>
      <c r="BK185" s="2297"/>
      <c r="BL185" s="2297"/>
      <c r="BM185" s="2297"/>
      <c r="BN185" s="2297"/>
      <c r="BO185" s="2297"/>
      <c r="BP185" s="2297"/>
      <c r="BQ185" s="2297"/>
      <c r="BR185" s="2297"/>
      <c r="BS185" s="2297"/>
      <c r="BT185" s="2297"/>
      <c r="BU185" s="2297"/>
      <c r="BV185" s="2297"/>
      <c r="BW185" s="2297"/>
      <c r="BX185" s="2297"/>
      <c r="BY185" s="2297"/>
      <c r="BZ185" s="2297"/>
      <c r="CA185" s="2297"/>
      <c r="CB185" s="2297"/>
      <c r="CC185" s="2297"/>
      <c r="CD185" s="2297"/>
      <c r="CE185" s="2297"/>
      <c r="CF185" s="2297"/>
      <c r="CG185" s="2297"/>
      <c r="CH185" s="2297"/>
      <c r="CI185" s="2297"/>
      <c r="CJ185" s="2297"/>
      <c r="CK185" s="2297"/>
      <c r="CL185" s="2297"/>
      <c r="CM185" s="2297"/>
      <c r="CN185" s="2297"/>
      <c r="CO185" s="2297"/>
      <c r="CP185" s="2297"/>
      <c r="CQ185" s="2297"/>
      <c r="CR185" s="2297"/>
      <c r="CS185" s="2297"/>
      <c r="CT185" s="2297"/>
      <c r="CU185" s="2297"/>
      <c r="CV185" s="2297"/>
      <c r="CW185" s="2297"/>
      <c r="CX185" s="2297"/>
      <c r="CY185" s="2297"/>
      <c r="CZ185" s="2297"/>
      <c r="DA185" s="2297"/>
      <c r="DB185" s="2297"/>
      <c r="DC185" s="2297"/>
      <c r="DD185" s="2297"/>
      <c r="DE185" s="2297"/>
      <c r="DF185" s="2297"/>
      <c r="DG185" s="2297"/>
      <c r="DH185" s="2297"/>
      <c r="DI185" s="2297"/>
      <c r="DJ185" s="2297"/>
      <c r="DK185" s="2297"/>
      <c r="DL185" s="2297"/>
      <c r="DM185" s="2297"/>
      <c r="DN185" s="2297"/>
      <c r="DO185" s="2297"/>
      <c r="DP185" s="2297"/>
      <c r="DQ185" s="2297"/>
      <c r="DR185" s="2297"/>
      <c r="DS185" s="2297"/>
      <c r="DT185" s="2297"/>
      <c r="DU185" s="2297"/>
      <c r="DV185" s="2297"/>
      <c r="DW185" s="2297"/>
      <c r="DX185" s="2297"/>
      <c r="DY185" s="2297"/>
      <c r="DZ185" s="2297"/>
      <c r="EA185" s="2297"/>
      <c r="EB185" s="2297"/>
      <c r="EC185" s="2297"/>
      <c r="ED185" s="2297"/>
      <c r="EE185" s="2297"/>
      <c r="EF185" s="2297"/>
      <c r="EG185" s="2297"/>
      <c r="EH185" s="2297"/>
      <c r="EI185" s="2297"/>
      <c r="EJ185" s="2297"/>
      <c r="EK185" s="2297"/>
      <c r="EL185" s="2297"/>
      <c r="EM185" s="2297"/>
      <c r="EN185" s="2297"/>
      <c r="EO185" s="2297"/>
      <c r="EP185" s="2297"/>
      <c r="EQ185" s="2297"/>
      <c r="ER185" s="2297"/>
      <c r="ES185" s="2297"/>
      <c r="ET185" s="2297"/>
      <c r="EU185" s="2297"/>
      <c r="EV185" s="2297"/>
      <c r="EW185" s="2297"/>
      <c r="EX185" s="2297"/>
      <c r="EY185" s="2297"/>
      <c r="EZ185" s="2297"/>
      <c r="FA185" s="2297"/>
      <c r="FB185" s="2297"/>
      <c r="FC185" s="2297"/>
      <c r="FD185" s="2297"/>
      <c r="FE185" s="2297"/>
      <c r="FF185" s="2297"/>
      <c r="FG185" s="2297"/>
      <c r="FH185" s="2297"/>
      <c r="FI185" s="2297"/>
      <c r="FJ185" s="2297"/>
      <c r="FK185" s="2297"/>
      <c r="FL185" s="2297"/>
      <c r="FM185" s="2297"/>
      <c r="FN185" s="2297"/>
      <c r="FO185" s="2297"/>
      <c r="FP185" s="2297"/>
      <c r="FQ185" s="2297"/>
      <c r="FR185" s="2297"/>
      <c r="FS185" s="2297"/>
      <c r="FT185" s="2297"/>
      <c r="FU185" s="2297"/>
      <c r="FV185" s="2297"/>
      <c r="FW185" s="2297"/>
      <c r="FX185" s="2297"/>
      <c r="FY185" s="2297"/>
      <c r="FZ185" s="2297"/>
      <c r="GA185" s="2297"/>
      <c r="GB185" s="2297"/>
      <c r="GC185" s="2297"/>
      <c r="GD185" s="2297"/>
      <c r="GE185" s="2297"/>
      <c r="GF185" s="2297"/>
      <c r="GG185" s="2297"/>
      <c r="GH185" s="2297"/>
      <c r="GI185" s="2297"/>
      <c r="GJ185" s="2297"/>
      <c r="GK185" s="2297"/>
      <c r="GL185" s="2297"/>
      <c r="GM185" s="2297"/>
      <c r="GN185" s="2297"/>
      <c r="GO185" s="2297"/>
      <c r="GP185" s="2297"/>
      <c r="GQ185" s="2297"/>
      <c r="GR185" s="2297"/>
      <c r="GS185" s="2297"/>
      <c r="GT185" s="2297"/>
      <c r="GU185" s="2297"/>
      <c r="GV185" s="2297"/>
      <c r="GW185" s="2297"/>
      <c r="GX185" s="2297"/>
      <c r="GY185" s="2297"/>
      <c r="GZ185" s="2297"/>
      <c r="HA185" s="2297"/>
      <c r="HB185" s="2297"/>
      <c r="HC185" s="2297"/>
      <c r="HD185" s="2297"/>
      <c r="HE185" s="2297"/>
      <c r="HF185" s="2297"/>
      <c r="HG185" s="2297"/>
      <c r="HH185" s="2297"/>
      <c r="HI185" s="2297"/>
      <c r="HJ185" s="2297"/>
      <c r="HK185" s="2297"/>
      <c r="HL185" s="2297"/>
      <c r="HM185" s="2297"/>
      <c r="HN185" s="2297"/>
      <c r="HO185" s="2297"/>
      <c r="HP185" s="2297"/>
      <c r="HQ185" s="2297"/>
      <c r="HR185" s="2297"/>
      <c r="HS185" s="2297"/>
      <c r="HT185" s="2297"/>
      <c r="HU185" s="2297"/>
      <c r="HV185" s="2297"/>
      <c r="HW185" s="2297"/>
      <c r="HX185" s="2297"/>
      <c r="HY185" s="2297"/>
      <c r="HZ185" s="2297"/>
      <c r="IA185" s="2297"/>
      <c r="IB185" s="2297"/>
      <c r="IC185" s="2297"/>
      <c r="ID185" s="2297"/>
      <c r="IE185" s="2297"/>
      <c r="IF185" s="2297"/>
      <c r="IG185" s="2297"/>
      <c r="IH185" s="2297"/>
      <c r="II185" s="2297"/>
      <c r="IJ185" s="2297"/>
      <c r="IK185" s="2297"/>
      <c r="IL185" s="2297"/>
      <c r="IM185" s="2297"/>
      <c r="IN185" s="2297"/>
      <c r="IO185" s="2297"/>
      <c r="IP185" s="2297"/>
      <c r="IQ185" s="2297"/>
      <c r="IR185" s="2297"/>
      <c r="IS185" s="2297"/>
      <c r="IT185" s="2297"/>
      <c r="IU185" s="2297"/>
      <c r="IV185" s="2297"/>
    </row>
    <row r="186" spans="1:256">
      <c r="C186" s="2298"/>
      <c r="D186" s="2298"/>
      <c r="E186" s="2298"/>
      <c r="F186" s="2298"/>
      <c r="G186" s="2298"/>
      <c r="H186" s="2298"/>
      <c r="AC186" s="2297"/>
      <c r="AD186" s="2297"/>
      <c r="AE186" s="2297"/>
      <c r="AF186" s="2297"/>
      <c r="AG186" s="2297"/>
      <c r="AH186" s="2297"/>
      <c r="AI186" s="2297"/>
      <c r="AJ186" s="2297"/>
      <c r="AK186" s="2297"/>
      <c r="AL186" s="2297"/>
      <c r="AM186" s="2297"/>
      <c r="AN186" s="2297"/>
      <c r="AO186" s="2297"/>
      <c r="AP186" s="2297"/>
      <c r="AQ186" s="2297"/>
      <c r="AR186" s="2297"/>
      <c r="AS186" s="2297"/>
      <c r="AT186" s="2297"/>
      <c r="AU186" s="2297"/>
      <c r="AV186" s="2297"/>
      <c r="AW186" s="2297"/>
      <c r="AX186" s="2297"/>
      <c r="AY186" s="2297"/>
      <c r="AZ186" s="2297"/>
      <c r="BA186" s="2297"/>
      <c r="BB186" s="2297"/>
      <c r="BC186" s="2297"/>
      <c r="BD186" s="2297"/>
      <c r="BE186" s="2297"/>
      <c r="BF186" s="2297"/>
      <c r="BG186" s="2297"/>
      <c r="BH186" s="2297"/>
      <c r="BI186" s="2297"/>
      <c r="BJ186" s="2297"/>
      <c r="BK186" s="2297"/>
      <c r="BL186" s="2297"/>
      <c r="BM186" s="2297"/>
      <c r="BN186" s="2297"/>
      <c r="BO186" s="2297"/>
      <c r="BP186" s="2297"/>
      <c r="BQ186" s="2297"/>
      <c r="BR186" s="2297"/>
      <c r="BS186" s="2297"/>
      <c r="BT186" s="2297"/>
      <c r="BU186" s="2297"/>
      <c r="BV186" s="2297"/>
      <c r="BW186" s="2297"/>
      <c r="BX186" s="2297"/>
      <c r="BY186" s="2297"/>
      <c r="BZ186" s="2297"/>
      <c r="CA186" s="2297"/>
      <c r="CB186" s="2297"/>
      <c r="CC186" s="2297"/>
      <c r="CD186" s="2297"/>
      <c r="CE186" s="2297"/>
      <c r="CF186" s="2297"/>
      <c r="CG186" s="2297"/>
      <c r="CH186" s="2297"/>
      <c r="CI186" s="2297"/>
      <c r="CJ186" s="2297"/>
      <c r="CK186" s="2297"/>
      <c r="CL186" s="2297"/>
      <c r="CM186" s="2297"/>
      <c r="CN186" s="2297"/>
      <c r="CO186" s="2297"/>
      <c r="CP186" s="2297"/>
      <c r="CQ186" s="2297"/>
      <c r="CR186" s="2297"/>
      <c r="CS186" s="2297"/>
      <c r="CT186" s="2297"/>
      <c r="CU186" s="2297"/>
      <c r="CV186" s="2297"/>
      <c r="CW186" s="2297"/>
      <c r="CX186" s="2297"/>
      <c r="CY186" s="2297"/>
      <c r="CZ186" s="2297"/>
      <c r="DA186" s="2297"/>
      <c r="DB186" s="2297"/>
      <c r="DC186" s="2297"/>
      <c r="DD186" s="2297"/>
      <c r="DE186" s="2297"/>
      <c r="DF186" s="2297"/>
      <c r="DG186" s="2297"/>
      <c r="DH186" s="2297"/>
      <c r="DI186" s="2297"/>
      <c r="DJ186" s="2297"/>
      <c r="DK186" s="2297"/>
      <c r="DL186" s="2297"/>
      <c r="DM186" s="2297"/>
      <c r="DN186" s="2297"/>
      <c r="DO186" s="2297"/>
      <c r="DP186" s="2297"/>
      <c r="DQ186" s="2297"/>
      <c r="DR186" s="2297"/>
      <c r="DS186" s="2297"/>
      <c r="DT186" s="2297"/>
      <c r="DU186" s="2297"/>
      <c r="DV186" s="2297"/>
      <c r="DW186" s="2297"/>
      <c r="DX186" s="2297"/>
      <c r="DY186" s="2297"/>
      <c r="DZ186" s="2297"/>
      <c r="EA186" s="2297"/>
      <c r="EB186" s="2297"/>
      <c r="EC186" s="2297"/>
      <c r="ED186" s="2297"/>
      <c r="EE186" s="2297"/>
      <c r="EF186" s="2297"/>
      <c r="EG186" s="2297"/>
      <c r="EH186" s="2297"/>
      <c r="EI186" s="2297"/>
      <c r="EJ186" s="2297"/>
      <c r="EK186" s="2297"/>
      <c r="EL186" s="2297"/>
      <c r="EM186" s="2297"/>
      <c r="EN186" s="2297"/>
      <c r="EO186" s="2297"/>
      <c r="EP186" s="2297"/>
      <c r="EQ186" s="2297"/>
      <c r="ER186" s="2297"/>
      <c r="ES186" s="2297"/>
      <c r="ET186" s="2297"/>
      <c r="EU186" s="2297"/>
      <c r="EV186" s="2297"/>
      <c r="EW186" s="2297"/>
      <c r="EX186" s="2297"/>
      <c r="EY186" s="2297"/>
      <c r="EZ186" s="2297"/>
      <c r="FA186" s="2297"/>
      <c r="FB186" s="2297"/>
      <c r="FC186" s="2297"/>
      <c r="FD186" s="2297"/>
      <c r="FE186" s="2297"/>
      <c r="FF186" s="2297"/>
      <c r="FG186" s="2297"/>
      <c r="FH186" s="2297"/>
      <c r="FI186" s="2297"/>
      <c r="FJ186" s="2297"/>
      <c r="FK186" s="2297"/>
      <c r="FL186" s="2297"/>
      <c r="FM186" s="2297"/>
      <c r="FN186" s="2297"/>
      <c r="FO186" s="2297"/>
      <c r="FP186" s="2297"/>
      <c r="FQ186" s="2297"/>
      <c r="FR186" s="2297"/>
      <c r="FS186" s="2297"/>
      <c r="FT186" s="2297"/>
      <c r="FU186" s="2297"/>
      <c r="FV186" s="2297"/>
      <c r="FW186" s="2297"/>
      <c r="FX186" s="2297"/>
      <c r="FY186" s="2297"/>
      <c r="FZ186" s="2297"/>
      <c r="GA186" s="2297"/>
      <c r="GB186" s="2297"/>
      <c r="GC186" s="2297"/>
      <c r="GD186" s="2297"/>
      <c r="GE186" s="2297"/>
      <c r="GF186" s="2297"/>
      <c r="GG186" s="2297"/>
      <c r="GH186" s="2297"/>
      <c r="GI186" s="2297"/>
      <c r="GJ186" s="2297"/>
      <c r="GK186" s="2297"/>
      <c r="GL186" s="2297"/>
      <c r="GM186" s="2297"/>
      <c r="GN186" s="2297"/>
      <c r="GO186" s="2297"/>
      <c r="GP186" s="2297"/>
      <c r="GQ186" s="2297"/>
      <c r="GR186" s="2297"/>
      <c r="GS186" s="2297"/>
      <c r="GT186" s="2297"/>
      <c r="GU186" s="2297"/>
      <c r="GV186" s="2297"/>
      <c r="GW186" s="2297"/>
      <c r="GX186" s="2297"/>
      <c r="GY186" s="2297"/>
      <c r="GZ186" s="2297"/>
      <c r="HA186" s="2297"/>
      <c r="HB186" s="2297"/>
      <c r="HC186" s="2297"/>
      <c r="HD186" s="2297"/>
      <c r="HE186" s="2297"/>
      <c r="HF186" s="2297"/>
      <c r="HG186" s="2297"/>
      <c r="HH186" s="2297"/>
      <c r="HI186" s="2297"/>
      <c r="HJ186" s="2297"/>
      <c r="HK186" s="2297"/>
      <c r="HL186" s="2297"/>
      <c r="HM186" s="2297"/>
      <c r="HN186" s="2297"/>
      <c r="HO186" s="2297"/>
      <c r="HP186" s="2297"/>
      <c r="HQ186" s="2297"/>
      <c r="HR186" s="2297"/>
      <c r="HS186" s="2297"/>
      <c r="HT186" s="2297"/>
      <c r="HU186" s="2297"/>
      <c r="HV186" s="2297"/>
      <c r="HW186" s="2297"/>
      <c r="HX186" s="2297"/>
      <c r="HY186" s="2297"/>
      <c r="HZ186" s="2297"/>
      <c r="IA186" s="2297"/>
      <c r="IB186" s="2297"/>
      <c r="IC186" s="2297"/>
      <c r="ID186" s="2297"/>
      <c r="IE186" s="2297"/>
      <c r="IF186" s="2297"/>
      <c r="IG186" s="2297"/>
      <c r="IH186" s="2297"/>
      <c r="II186" s="2297"/>
      <c r="IJ186" s="2297"/>
      <c r="IK186" s="2297"/>
      <c r="IL186" s="2297"/>
      <c r="IM186" s="2297"/>
      <c r="IN186" s="2297"/>
      <c r="IO186" s="2297"/>
      <c r="IP186" s="2297"/>
      <c r="IQ186" s="2297"/>
      <c r="IR186" s="2297"/>
      <c r="IS186" s="2297"/>
      <c r="IT186" s="2297"/>
      <c r="IU186" s="2297"/>
      <c r="IV186" s="2297"/>
    </row>
    <row r="187" spans="1:256">
      <c r="C187" s="2298"/>
      <c r="D187" s="2298"/>
      <c r="E187" s="2298"/>
      <c r="F187" s="2298"/>
      <c r="G187" s="2298"/>
      <c r="H187" s="2298"/>
      <c r="AC187" s="2297"/>
      <c r="AD187" s="2297"/>
      <c r="AE187" s="2297"/>
      <c r="AF187" s="2297"/>
      <c r="AG187" s="2297"/>
      <c r="AH187" s="2297"/>
      <c r="AI187" s="2297"/>
      <c r="AJ187" s="2297"/>
      <c r="AK187" s="2297"/>
      <c r="AL187" s="2297"/>
      <c r="AM187" s="2297"/>
      <c r="AN187" s="2297"/>
      <c r="AO187" s="2297"/>
      <c r="AP187" s="2297"/>
      <c r="AQ187" s="2297"/>
      <c r="AR187" s="2297"/>
      <c r="AS187" s="2297"/>
      <c r="AT187" s="2297"/>
      <c r="AU187" s="2297"/>
      <c r="AV187" s="2297"/>
      <c r="AW187" s="2297"/>
      <c r="AX187" s="2297"/>
      <c r="AY187" s="2297"/>
      <c r="AZ187" s="2297"/>
      <c r="BA187" s="2297"/>
      <c r="BB187" s="2297"/>
      <c r="BC187" s="2297"/>
      <c r="BD187" s="2297"/>
      <c r="BE187" s="2297"/>
      <c r="BF187" s="2297"/>
      <c r="BG187" s="2297"/>
      <c r="BH187" s="2297"/>
      <c r="BI187" s="2297"/>
      <c r="BJ187" s="2297"/>
      <c r="BK187" s="2297"/>
      <c r="BL187" s="2297"/>
      <c r="BM187" s="2297"/>
      <c r="BN187" s="2297"/>
      <c r="BO187" s="2297"/>
      <c r="BP187" s="2297"/>
      <c r="BQ187" s="2297"/>
      <c r="BR187" s="2297"/>
      <c r="BS187" s="2297"/>
      <c r="BT187" s="2297"/>
      <c r="BU187" s="2297"/>
      <c r="BV187" s="2297"/>
      <c r="BW187" s="2297"/>
      <c r="BX187" s="2297"/>
      <c r="BY187" s="2297"/>
      <c r="BZ187" s="2297"/>
      <c r="CA187" s="2297"/>
      <c r="CB187" s="2297"/>
      <c r="CC187" s="2297"/>
      <c r="CD187" s="2297"/>
      <c r="CE187" s="2297"/>
      <c r="CF187" s="2297"/>
      <c r="CG187" s="2297"/>
      <c r="CH187" s="2297"/>
      <c r="CI187" s="2297"/>
      <c r="CJ187" s="2297"/>
      <c r="CK187" s="2297"/>
      <c r="CL187" s="2297"/>
      <c r="CM187" s="2297"/>
      <c r="CN187" s="2297"/>
      <c r="CO187" s="2297"/>
      <c r="CP187" s="2297"/>
      <c r="CQ187" s="2297"/>
      <c r="CR187" s="2297"/>
      <c r="CS187" s="2297"/>
      <c r="CT187" s="2297"/>
      <c r="CU187" s="2297"/>
      <c r="CV187" s="2297"/>
      <c r="CW187" s="2297"/>
      <c r="CX187" s="2297"/>
      <c r="CY187" s="2297"/>
      <c r="CZ187" s="2297"/>
      <c r="DA187" s="2297"/>
      <c r="DB187" s="2297"/>
      <c r="DC187" s="2297"/>
      <c r="DD187" s="2297"/>
      <c r="DE187" s="2297"/>
      <c r="DF187" s="2297"/>
      <c r="DG187" s="2297"/>
      <c r="DH187" s="2297"/>
      <c r="DI187" s="2297"/>
      <c r="DJ187" s="2297"/>
      <c r="DK187" s="2297"/>
      <c r="DL187" s="2297"/>
      <c r="DM187" s="2297"/>
      <c r="DN187" s="2297"/>
      <c r="DO187" s="2297"/>
      <c r="DP187" s="2297"/>
      <c r="DQ187" s="2297"/>
      <c r="DR187" s="2297"/>
      <c r="DS187" s="2297"/>
      <c r="DT187" s="2297"/>
      <c r="DU187" s="2297"/>
      <c r="DV187" s="2297"/>
      <c r="DW187" s="2297"/>
      <c r="DX187" s="2297"/>
      <c r="DY187" s="2297"/>
      <c r="DZ187" s="2297"/>
      <c r="EA187" s="2297"/>
      <c r="EB187" s="2297"/>
      <c r="EC187" s="2297"/>
      <c r="ED187" s="2297"/>
      <c r="EE187" s="2297"/>
      <c r="EF187" s="2297"/>
      <c r="EG187" s="2297"/>
      <c r="EH187" s="2297"/>
      <c r="EI187" s="2297"/>
      <c r="EJ187" s="2297"/>
      <c r="EK187" s="2297"/>
      <c r="EL187" s="2297"/>
      <c r="EM187" s="2297"/>
      <c r="EN187" s="2297"/>
      <c r="EO187" s="2297"/>
      <c r="EP187" s="2297"/>
      <c r="EQ187" s="2297"/>
      <c r="ER187" s="2297"/>
      <c r="ES187" s="2297"/>
      <c r="ET187" s="2297"/>
      <c r="EU187" s="2297"/>
      <c r="EV187" s="2297"/>
      <c r="EW187" s="2297"/>
      <c r="EX187" s="2297"/>
      <c r="EY187" s="2297"/>
      <c r="EZ187" s="2297"/>
      <c r="FA187" s="2297"/>
      <c r="FB187" s="2297"/>
      <c r="FC187" s="2297"/>
      <c r="FD187" s="2297"/>
      <c r="FE187" s="2297"/>
      <c r="FF187" s="2297"/>
      <c r="FG187" s="2297"/>
      <c r="FH187" s="2297"/>
      <c r="FI187" s="2297"/>
      <c r="FJ187" s="2297"/>
      <c r="FK187" s="2297"/>
      <c r="FL187" s="2297"/>
      <c r="FM187" s="2297"/>
      <c r="FN187" s="2297"/>
      <c r="FO187" s="2297"/>
      <c r="FP187" s="2297"/>
      <c r="FQ187" s="2297"/>
      <c r="FR187" s="2297"/>
      <c r="FS187" s="2297"/>
      <c r="FT187" s="2297"/>
      <c r="FU187" s="2297"/>
      <c r="FV187" s="2297"/>
      <c r="FW187" s="2297"/>
      <c r="FX187" s="2297"/>
      <c r="FY187" s="2297"/>
      <c r="FZ187" s="2297"/>
      <c r="GA187" s="2297"/>
      <c r="GB187" s="2297"/>
      <c r="GC187" s="2297"/>
      <c r="GD187" s="2297"/>
      <c r="GE187" s="2297"/>
      <c r="GF187" s="2297"/>
      <c r="GG187" s="2297"/>
      <c r="GH187" s="2297"/>
      <c r="GI187" s="2297"/>
      <c r="GJ187" s="2297"/>
      <c r="GK187" s="2297"/>
      <c r="GL187" s="2297"/>
      <c r="GM187" s="2297"/>
      <c r="GN187" s="2297"/>
      <c r="GO187" s="2297"/>
      <c r="GP187" s="2297"/>
      <c r="GQ187" s="2297"/>
      <c r="GR187" s="2297"/>
      <c r="GS187" s="2297"/>
      <c r="GT187" s="2297"/>
      <c r="GU187" s="2297"/>
      <c r="GV187" s="2297"/>
      <c r="GW187" s="2297"/>
      <c r="GX187" s="2297"/>
      <c r="GY187" s="2297"/>
      <c r="GZ187" s="2297"/>
      <c r="HA187" s="2297"/>
      <c r="HB187" s="2297"/>
      <c r="HC187" s="2297"/>
      <c r="HD187" s="2297"/>
      <c r="HE187" s="2297"/>
      <c r="HF187" s="2297"/>
      <c r="HG187" s="2297"/>
      <c r="HH187" s="2297"/>
      <c r="HI187" s="2297"/>
      <c r="HJ187" s="2297"/>
      <c r="HK187" s="2297"/>
      <c r="HL187" s="2297"/>
      <c r="HM187" s="2297"/>
      <c r="HN187" s="2297"/>
      <c r="HO187" s="2297"/>
      <c r="HP187" s="2297"/>
      <c r="HQ187" s="2297"/>
      <c r="HR187" s="2297"/>
      <c r="HS187" s="2297"/>
      <c r="HT187" s="2297"/>
      <c r="HU187" s="2297"/>
      <c r="HV187" s="2297"/>
      <c r="HW187" s="2297"/>
      <c r="HX187" s="2297"/>
      <c r="HY187" s="2297"/>
      <c r="HZ187" s="2297"/>
      <c r="IA187" s="2297"/>
      <c r="IB187" s="2297"/>
      <c r="IC187" s="2297"/>
      <c r="ID187" s="2297"/>
      <c r="IE187" s="2297"/>
      <c r="IF187" s="2297"/>
      <c r="IG187" s="2297"/>
      <c r="IH187" s="2297"/>
      <c r="II187" s="2297"/>
      <c r="IJ187" s="2297"/>
      <c r="IK187" s="2297"/>
      <c r="IL187" s="2297"/>
      <c r="IM187" s="2297"/>
      <c r="IN187" s="2297"/>
      <c r="IO187" s="2297"/>
      <c r="IP187" s="2297"/>
      <c r="IQ187" s="2297"/>
      <c r="IR187" s="2297"/>
      <c r="IS187" s="2297"/>
      <c r="IT187" s="2297"/>
      <c r="IU187" s="2297"/>
      <c r="IV187" s="2297"/>
    </row>
    <row r="188" spans="1:256">
      <c r="C188" s="2298"/>
      <c r="D188" s="2298"/>
      <c r="E188" s="2298"/>
      <c r="F188" s="2298"/>
      <c r="G188" s="2298"/>
      <c r="H188" s="2298"/>
      <c r="AC188" s="2297"/>
      <c r="AD188" s="2297"/>
      <c r="AE188" s="2297"/>
      <c r="AF188" s="2297"/>
      <c r="AG188" s="2297"/>
      <c r="AH188" s="2297"/>
      <c r="AI188" s="2297"/>
      <c r="AJ188" s="2297"/>
      <c r="AK188" s="2297"/>
      <c r="AL188" s="2297"/>
      <c r="AM188" s="2297"/>
      <c r="AN188" s="2297"/>
      <c r="AO188" s="2297"/>
      <c r="AP188" s="2297"/>
      <c r="AQ188" s="2297"/>
      <c r="AR188" s="2297"/>
      <c r="AS188" s="2297"/>
      <c r="AT188" s="2297"/>
      <c r="AU188" s="2297"/>
      <c r="AV188" s="2297"/>
      <c r="AW188" s="2297"/>
      <c r="AX188" s="2297"/>
      <c r="AY188" s="2297"/>
      <c r="AZ188" s="2297"/>
      <c r="BA188" s="2297"/>
      <c r="BB188" s="2297"/>
      <c r="BC188" s="2297"/>
      <c r="BD188" s="2297"/>
      <c r="BE188" s="2297"/>
      <c r="BF188" s="2297"/>
      <c r="BG188" s="2297"/>
      <c r="BH188" s="2297"/>
      <c r="BI188" s="2297"/>
      <c r="BJ188" s="2297"/>
      <c r="BK188" s="2297"/>
      <c r="BL188" s="2297"/>
      <c r="BM188" s="2297"/>
      <c r="BN188" s="2297"/>
      <c r="BO188" s="2297"/>
      <c r="BP188" s="2297"/>
      <c r="BQ188" s="2297"/>
      <c r="BR188" s="2297"/>
      <c r="BS188" s="2297"/>
      <c r="BT188" s="2297"/>
      <c r="BU188" s="2297"/>
      <c r="BV188" s="2297"/>
      <c r="BW188" s="2297"/>
      <c r="BX188" s="2297"/>
      <c r="BY188" s="2297"/>
      <c r="BZ188" s="2297"/>
      <c r="CA188" s="2297"/>
      <c r="CB188" s="2297"/>
      <c r="CC188" s="2297"/>
      <c r="CD188" s="2297"/>
      <c r="CE188" s="2297"/>
      <c r="CF188" s="2297"/>
      <c r="CG188" s="2297"/>
      <c r="CH188" s="2297"/>
      <c r="CI188" s="2297"/>
      <c r="CJ188" s="2297"/>
      <c r="CK188" s="2297"/>
      <c r="CL188" s="2297"/>
      <c r="CM188" s="2297"/>
      <c r="CN188" s="2297"/>
      <c r="CO188" s="2297"/>
      <c r="CP188" s="2297"/>
      <c r="CQ188" s="2297"/>
      <c r="CR188" s="2297"/>
      <c r="CS188" s="2297"/>
      <c r="CT188" s="2297"/>
      <c r="CU188" s="2297"/>
      <c r="CV188" s="2297"/>
      <c r="CW188" s="2297"/>
      <c r="CX188" s="2297"/>
      <c r="CY188" s="2297"/>
      <c r="CZ188" s="2297"/>
      <c r="DA188" s="2297"/>
      <c r="DB188" s="2297"/>
      <c r="DC188" s="2297"/>
      <c r="DD188" s="2297"/>
      <c r="DE188" s="2297"/>
      <c r="DF188" s="2297"/>
      <c r="DG188" s="2297"/>
      <c r="DH188" s="2297"/>
      <c r="DI188" s="2297"/>
      <c r="DJ188" s="2297"/>
      <c r="DK188" s="2297"/>
      <c r="DL188" s="2297"/>
      <c r="DM188" s="2297"/>
      <c r="DN188" s="2297"/>
      <c r="DO188" s="2297"/>
      <c r="DP188" s="2297"/>
      <c r="DQ188" s="2297"/>
      <c r="DR188" s="2297"/>
      <c r="DS188" s="2297"/>
      <c r="DT188" s="2297"/>
      <c r="DU188" s="2297"/>
      <c r="DV188" s="2297"/>
      <c r="DW188" s="2297"/>
      <c r="DX188" s="2297"/>
      <c r="DY188" s="2297"/>
      <c r="DZ188" s="2297"/>
      <c r="EA188" s="2297"/>
      <c r="EB188" s="2297"/>
      <c r="EC188" s="2297"/>
      <c r="ED188" s="2297"/>
      <c r="EE188" s="2297"/>
      <c r="EF188" s="2297"/>
      <c r="EG188" s="2297"/>
      <c r="EH188" s="2297"/>
      <c r="EI188" s="2297"/>
      <c r="EJ188" s="2297"/>
      <c r="EK188" s="2297"/>
      <c r="EL188" s="2297"/>
      <c r="EM188" s="2297"/>
      <c r="EN188" s="2297"/>
      <c r="EO188" s="2297"/>
      <c r="EP188" s="2297"/>
      <c r="EQ188" s="2297"/>
      <c r="ER188" s="2297"/>
      <c r="ES188" s="2297"/>
      <c r="ET188" s="2297"/>
      <c r="EU188" s="2297"/>
      <c r="EV188" s="2297"/>
      <c r="EW188" s="2297"/>
      <c r="EX188" s="2297"/>
      <c r="EY188" s="2297"/>
      <c r="EZ188" s="2297"/>
      <c r="FA188" s="2297"/>
      <c r="FB188" s="2297"/>
      <c r="FC188" s="2297"/>
      <c r="FD188" s="2297"/>
      <c r="FE188" s="2297"/>
      <c r="FF188" s="2297"/>
      <c r="FG188" s="2297"/>
      <c r="FH188" s="2297"/>
      <c r="FI188" s="2297"/>
      <c r="FJ188" s="2297"/>
      <c r="FK188" s="2297"/>
      <c r="FL188" s="2297"/>
      <c r="FM188" s="2297"/>
      <c r="FN188" s="2297"/>
      <c r="FO188" s="2297"/>
      <c r="FP188" s="2297"/>
      <c r="FQ188" s="2297"/>
      <c r="FR188" s="2297"/>
      <c r="FS188" s="2297"/>
      <c r="FT188" s="2297"/>
      <c r="FU188" s="2297"/>
      <c r="FV188" s="2297"/>
      <c r="FW188" s="2297"/>
      <c r="FX188" s="2297"/>
      <c r="FY188" s="2297"/>
      <c r="FZ188" s="2297"/>
      <c r="GA188" s="2297"/>
      <c r="GB188" s="2297"/>
      <c r="GC188" s="2297"/>
      <c r="GD188" s="2297"/>
      <c r="GE188" s="2297"/>
      <c r="GF188" s="2297"/>
      <c r="GG188" s="2297"/>
      <c r="GH188" s="2297"/>
      <c r="GI188" s="2297"/>
      <c r="GJ188" s="2297"/>
      <c r="GK188" s="2297"/>
      <c r="GL188" s="2297"/>
      <c r="GM188" s="2297"/>
      <c r="GN188" s="2297"/>
      <c r="GO188" s="2297"/>
      <c r="GP188" s="2297"/>
      <c r="GQ188" s="2297"/>
      <c r="GR188" s="2297"/>
      <c r="GS188" s="2297"/>
      <c r="GT188" s="2297"/>
      <c r="GU188" s="2297"/>
      <c r="GV188" s="2297"/>
      <c r="GW188" s="2297"/>
      <c r="GX188" s="2297"/>
      <c r="GY188" s="2297"/>
      <c r="GZ188" s="2297"/>
      <c r="HA188" s="2297"/>
      <c r="HB188" s="2297"/>
      <c r="HC188" s="2297"/>
      <c r="HD188" s="2297"/>
      <c r="HE188" s="2297"/>
      <c r="HF188" s="2297"/>
      <c r="HG188" s="2297"/>
      <c r="HH188" s="2297"/>
      <c r="HI188" s="2297"/>
      <c r="HJ188" s="2297"/>
      <c r="HK188" s="2297"/>
      <c r="HL188" s="2297"/>
      <c r="HM188" s="2297"/>
      <c r="HN188" s="2297"/>
      <c r="HO188" s="2297"/>
      <c r="HP188" s="2297"/>
      <c r="HQ188" s="2297"/>
      <c r="HR188" s="2297"/>
      <c r="HS188" s="2297"/>
      <c r="HT188" s="2297"/>
      <c r="HU188" s="2297"/>
      <c r="HV188" s="2297"/>
      <c r="HW188" s="2297"/>
      <c r="HX188" s="2297"/>
      <c r="HY188" s="2297"/>
      <c r="HZ188" s="2297"/>
      <c r="IA188" s="2297"/>
      <c r="IB188" s="2297"/>
      <c r="IC188" s="2297"/>
      <c r="ID188" s="2297"/>
      <c r="IE188" s="2297"/>
      <c r="IF188" s="2297"/>
      <c r="IG188" s="2297"/>
      <c r="IH188" s="2297"/>
      <c r="II188" s="2297"/>
      <c r="IJ188" s="2297"/>
      <c r="IK188" s="2297"/>
      <c r="IL188" s="2297"/>
      <c r="IM188" s="2297"/>
      <c r="IN188" s="2297"/>
      <c r="IO188" s="2297"/>
      <c r="IP188" s="2297"/>
      <c r="IQ188" s="2297"/>
      <c r="IR188" s="2297"/>
      <c r="IS188" s="2297"/>
      <c r="IT188" s="2297"/>
      <c r="IU188" s="2297"/>
      <c r="IV188" s="2297"/>
    </row>
    <row r="189" spans="1:256">
      <c r="C189" s="2298"/>
      <c r="D189" s="2298"/>
      <c r="E189" s="2298"/>
      <c r="F189" s="2298"/>
      <c r="G189" s="2298"/>
      <c r="H189" s="2298"/>
      <c r="AC189" s="2297"/>
      <c r="AD189" s="2297"/>
      <c r="AE189" s="2297"/>
      <c r="AF189" s="2297"/>
      <c r="AG189" s="2297"/>
      <c r="AH189" s="2297"/>
      <c r="AI189" s="2297"/>
      <c r="AJ189" s="2297"/>
      <c r="AK189" s="2297"/>
      <c r="AL189" s="2297"/>
      <c r="AM189" s="2297"/>
      <c r="AN189" s="2297"/>
      <c r="AO189" s="2297"/>
      <c r="AP189" s="2297"/>
      <c r="AQ189" s="2297"/>
      <c r="AR189" s="2297"/>
      <c r="AS189" s="2297"/>
      <c r="AT189" s="2297"/>
      <c r="AU189" s="2297"/>
      <c r="AV189" s="2297"/>
      <c r="AW189" s="2297"/>
      <c r="AX189" s="2297"/>
      <c r="AY189" s="2297"/>
      <c r="AZ189" s="2297"/>
      <c r="BA189" s="2297"/>
      <c r="BB189" s="2297"/>
      <c r="BC189" s="2297"/>
      <c r="BD189" s="2297"/>
      <c r="BE189" s="2297"/>
      <c r="BF189" s="2297"/>
      <c r="BG189" s="2297"/>
      <c r="BH189" s="2297"/>
      <c r="BI189" s="2297"/>
      <c r="BJ189" s="2297"/>
      <c r="BK189" s="2297"/>
      <c r="BL189" s="2297"/>
      <c r="BM189" s="2297"/>
      <c r="BN189" s="2297"/>
      <c r="BO189" s="2297"/>
      <c r="BP189" s="2297"/>
      <c r="BQ189" s="2297"/>
      <c r="BR189" s="2297"/>
      <c r="BS189" s="2297"/>
      <c r="BT189" s="2297"/>
      <c r="BU189" s="2297"/>
      <c r="BV189" s="2297"/>
      <c r="BW189" s="2297"/>
      <c r="BX189" s="2297"/>
      <c r="BY189" s="2297"/>
      <c r="BZ189" s="2297"/>
      <c r="CA189" s="2297"/>
      <c r="CB189" s="2297"/>
      <c r="CC189" s="2297"/>
      <c r="CD189" s="2297"/>
      <c r="CE189" s="2297"/>
      <c r="CF189" s="2297"/>
      <c r="CG189" s="2297"/>
      <c r="CH189" s="2297"/>
      <c r="CI189" s="2297"/>
      <c r="CJ189" s="2297"/>
      <c r="CK189" s="2297"/>
      <c r="CL189" s="2297"/>
      <c r="CM189" s="2297"/>
      <c r="CN189" s="2297"/>
      <c r="CO189" s="2297"/>
      <c r="CP189" s="2297"/>
      <c r="CQ189" s="2297"/>
      <c r="CR189" s="2297"/>
      <c r="CS189" s="2297"/>
      <c r="CT189" s="2297"/>
      <c r="CU189" s="2297"/>
      <c r="CV189" s="2297"/>
      <c r="CW189" s="2297"/>
      <c r="CX189" s="2297"/>
      <c r="CY189" s="2297"/>
      <c r="CZ189" s="2297"/>
      <c r="DA189" s="2297"/>
      <c r="DB189" s="2297"/>
      <c r="DC189" s="2297"/>
      <c r="DD189" s="2297"/>
      <c r="DE189" s="2297"/>
      <c r="DF189" s="2297"/>
      <c r="DG189" s="2297"/>
      <c r="DH189" s="2297"/>
      <c r="DI189" s="2297"/>
      <c r="DJ189" s="2297"/>
      <c r="DK189" s="2297"/>
      <c r="DL189" s="2297"/>
      <c r="DM189" s="2297"/>
      <c r="DN189" s="2297"/>
      <c r="DO189" s="2297"/>
      <c r="DP189" s="2297"/>
      <c r="DQ189" s="2297"/>
      <c r="DR189" s="2297"/>
      <c r="DS189" s="2297"/>
      <c r="DT189" s="2297"/>
      <c r="DU189" s="2297"/>
      <c r="DV189" s="2297"/>
      <c r="DW189" s="2297"/>
      <c r="DX189" s="2297"/>
      <c r="DY189" s="2297"/>
      <c r="DZ189" s="2297"/>
      <c r="EA189" s="2297"/>
      <c r="EB189" s="2297"/>
      <c r="EC189" s="2297"/>
      <c r="ED189" s="2297"/>
      <c r="EE189" s="2297"/>
      <c r="EF189" s="2297"/>
      <c r="EG189" s="2297"/>
      <c r="EH189" s="2297"/>
      <c r="EI189" s="2297"/>
      <c r="EJ189" s="2297"/>
      <c r="EK189" s="2297"/>
      <c r="EL189" s="2297"/>
      <c r="EM189" s="2297"/>
      <c r="EN189" s="2297"/>
      <c r="EO189" s="2297"/>
      <c r="EP189" s="2297"/>
      <c r="EQ189" s="2297"/>
      <c r="ER189" s="2297"/>
      <c r="ES189" s="2297"/>
      <c r="ET189" s="2297"/>
      <c r="EU189" s="2297"/>
      <c r="EV189" s="2297"/>
      <c r="EW189" s="2297"/>
      <c r="EX189" s="2297"/>
      <c r="EY189" s="2297"/>
      <c r="EZ189" s="2297"/>
      <c r="FA189" s="2297"/>
      <c r="FB189" s="2297"/>
      <c r="FC189" s="2297"/>
      <c r="FD189" s="2297"/>
      <c r="FE189" s="2297"/>
      <c r="FF189" s="2297"/>
      <c r="FG189" s="2297"/>
      <c r="FH189" s="2297"/>
      <c r="FI189" s="2297"/>
      <c r="FJ189" s="2297"/>
      <c r="FK189" s="2297"/>
      <c r="FL189" s="2297"/>
      <c r="FM189" s="2297"/>
      <c r="FN189" s="2297"/>
      <c r="FO189" s="2297"/>
      <c r="FP189" s="2297"/>
      <c r="FQ189" s="2297"/>
      <c r="FR189" s="2297"/>
      <c r="FS189" s="2297"/>
      <c r="FT189" s="2297"/>
      <c r="FU189" s="2297"/>
      <c r="FV189" s="2297"/>
      <c r="FW189" s="2297"/>
      <c r="FX189" s="2297"/>
      <c r="FY189" s="2297"/>
      <c r="FZ189" s="2297"/>
      <c r="GA189" s="2297"/>
      <c r="GB189" s="2297"/>
      <c r="GC189" s="2297"/>
      <c r="GD189" s="2297"/>
      <c r="GE189" s="2297"/>
      <c r="GF189" s="2297"/>
      <c r="GG189" s="2297"/>
      <c r="GH189" s="2297"/>
      <c r="GI189" s="2297"/>
      <c r="GJ189" s="2297"/>
      <c r="GK189" s="2297"/>
      <c r="GL189" s="2297"/>
      <c r="GM189" s="2297"/>
      <c r="GN189" s="2297"/>
      <c r="GO189" s="2297"/>
      <c r="GP189" s="2297"/>
      <c r="GQ189" s="2297"/>
      <c r="GR189" s="2297"/>
      <c r="GS189" s="2297"/>
      <c r="GT189" s="2297"/>
      <c r="GU189" s="2297"/>
      <c r="GV189" s="2297"/>
      <c r="GW189" s="2297"/>
      <c r="GX189" s="2297"/>
      <c r="GY189" s="2297"/>
      <c r="GZ189" s="2297"/>
      <c r="HA189" s="2297"/>
      <c r="HB189" s="2297"/>
      <c r="HC189" s="2297"/>
      <c r="HD189" s="2297"/>
      <c r="HE189" s="2297"/>
      <c r="HF189" s="2297"/>
      <c r="HG189" s="2297"/>
      <c r="HH189" s="2297"/>
      <c r="HI189" s="2297"/>
      <c r="HJ189" s="2297"/>
      <c r="HK189" s="2297"/>
      <c r="HL189" s="2297"/>
      <c r="HM189" s="2297"/>
      <c r="HN189" s="2297"/>
      <c r="HO189" s="2297"/>
      <c r="HP189" s="2297"/>
      <c r="HQ189" s="2297"/>
      <c r="HR189" s="2297"/>
      <c r="HS189" s="2297"/>
      <c r="HT189" s="2297"/>
      <c r="HU189" s="2297"/>
      <c r="HV189" s="2297"/>
      <c r="HW189" s="2297"/>
      <c r="HX189" s="2297"/>
      <c r="HY189" s="2297"/>
      <c r="HZ189" s="2297"/>
      <c r="IA189" s="2297"/>
      <c r="IB189" s="2297"/>
      <c r="IC189" s="2297"/>
      <c r="ID189" s="2297"/>
      <c r="IE189" s="2297"/>
      <c r="IF189" s="2297"/>
      <c r="IG189" s="2297"/>
      <c r="IH189" s="2297"/>
      <c r="II189" s="2297"/>
      <c r="IJ189" s="2297"/>
      <c r="IK189" s="2297"/>
      <c r="IL189" s="2297"/>
      <c r="IM189" s="2297"/>
      <c r="IN189" s="2297"/>
      <c r="IO189" s="2297"/>
      <c r="IP189" s="2297"/>
      <c r="IQ189" s="2297"/>
      <c r="IR189" s="2297"/>
      <c r="IS189" s="2297"/>
      <c r="IT189" s="2297"/>
      <c r="IU189" s="2297"/>
      <c r="IV189" s="2297"/>
    </row>
    <row r="190" spans="1:256">
      <c r="C190" s="2298"/>
      <c r="D190" s="2298"/>
      <c r="E190" s="2298"/>
      <c r="F190" s="2298"/>
      <c r="G190" s="2298"/>
      <c r="H190" s="2298"/>
      <c r="AC190" s="2297"/>
      <c r="AD190" s="2297"/>
      <c r="AE190" s="2297"/>
      <c r="AF190" s="2297"/>
      <c r="AG190" s="2297"/>
      <c r="AH190" s="2297"/>
      <c r="AI190" s="2297"/>
      <c r="AJ190" s="2297"/>
      <c r="AK190" s="2297"/>
      <c r="AL190" s="2297"/>
      <c r="AM190" s="2297"/>
      <c r="AN190" s="2297"/>
      <c r="AO190" s="2297"/>
      <c r="AP190" s="2297"/>
      <c r="AQ190" s="2297"/>
      <c r="AR190" s="2297"/>
      <c r="AS190" s="2297"/>
      <c r="AT190" s="2297"/>
      <c r="AU190" s="2297"/>
      <c r="AV190" s="2297"/>
      <c r="AW190" s="2297"/>
      <c r="AX190" s="2297"/>
      <c r="AY190" s="2297"/>
      <c r="AZ190" s="2297"/>
      <c r="BA190" s="2297"/>
      <c r="BB190" s="2297"/>
      <c r="BC190" s="2297"/>
      <c r="BD190" s="2297"/>
      <c r="BE190" s="2297"/>
      <c r="BF190" s="2297"/>
      <c r="BG190" s="2297"/>
      <c r="BH190" s="2297"/>
      <c r="BI190" s="2297"/>
      <c r="BJ190" s="2297"/>
      <c r="BK190" s="2297"/>
      <c r="BL190" s="2297"/>
      <c r="BM190" s="2297"/>
      <c r="BN190" s="2297"/>
      <c r="BO190" s="2297"/>
      <c r="BP190" s="2297"/>
      <c r="BQ190" s="2297"/>
      <c r="BR190" s="2297"/>
      <c r="BS190" s="2297"/>
      <c r="BT190" s="2297"/>
      <c r="BU190" s="2297"/>
      <c r="BV190" s="2297"/>
      <c r="BW190" s="2297"/>
      <c r="BX190" s="2297"/>
      <c r="BY190" s="2297"/>
      <c r="BZ190" s="2297"/>
      <c r="CA190" s="2297"/>
      <c r="CB190" s="2297"/>
      <c r="CC190" s="2297"/>
      <c r="CD190" s="2297"/>
      <c r="CE190" s="2297"/>
      <c r="CF190" s="2297"/>
      <c r="CG190" s="2297"/>
      <c r="CH190" s="2297"/>
      <c r="CI190" s="2297"/>
      <c r="CJ190" s="2297"/>
      <c r="CK190" s="2297"/>
      <c r="CL190" s="2297"/>
      <c r="CM190" s="2297"/>
      <c r="CN190" s="2297"/>
      <c r="CO190" s="2297"/>
      <c r="CP190" s="2297"/>
      <c r="CQ190" s="2297"/>
      <c r="CR190" s="2297"/>
      <c r="CS190" s="2297"/>
      <c r="CT190" s="2297"/>
      <c r="CU190" s="2297"/>
      <c r="CV190" s="2297"/>
      <c r="CW190" s="2297"/>
      <c r="CX190" s="2297"/>
      <c r="CY190" s="2297"/>
      <c r="CZ190" s="2297"/>
      <c r="DA190" s="2297"/>
      <c r="DB190" s="2297"/>
      <c r="DC190" s="2297"/>
      <c r="DD190" s="2297"/>
      <c r="DE190" s="2297"/>
      <c r="DF190" s="2297"/>
      <c r="DG190" s="2297"/>
      <c r="DH190" s="2297"/>
      <c r="DI190" s="2297"/>
      <c r="DJ190" s="2297"/>
      <c r="DK190" s="2297"/>
      <c r="DL190" s="2297"/>
      <c r="DM190" s="2297"/>
      <c r="DN190" s="2297"/>
      <c r="DO190" s="2297"/>
      <c r="DP190" s="2297"/>
      <c r="DQ190" s="2297"/>
      <c r="DR190" s="2297"/>
      <c r="DS190" s="2297"/>
      <c r="DT190" s="2297"/>
      <c r="DU190" s="2297"/>
      <c r="DV190" s="2297"/>
      <c r="DW190" s="2297"/>
      <c r="DX190" s="2297"/>
      <c r="DY190" s="2297"/>
      <c r="DZ190" s="2297"/>
      <c r="EA190" s="2297"/>
      <c r="EB190" s="2297"/>
      <c r="EC190" s="2297"/>
      <c r="ED190" s="2297"/>
      <c r="EE190" s="2297"/>
      <c r="EF190" s="2297"/>
      <c r="EG190" s="2297"/>
      <c r="EH190" s="2297"/>
      <c r="EI190" s="2297"/>
      <c r="EJ190" s="2297"/>
      <c r="EK190" s="2297"/>
      <c r="EL190" s="2297"/>
      <c r="EM190" s="2297"/>
      <c r="EN190" s="2297"/>
      <c r="EO190" s="2297"/>
      <c r="EP190" s="2297"/>
      <c r="EQ190" s="2297"/>
      <c r="ER190" s="2297"/>
      <c r="ES190" s="2297"/>
      <c r="ET190" s="2297"/>
      <c r="EU190" s="2297"/>
      <c r="EV190" s="2297"/>
      <c r="EW190" s="2297"/>
      <c r="EX190" s="2297"/>
      <c r="EY190" s="2297"/>
      <c r="EZ190" s="2297"/>
      <c r="FA190" s="2297"/>
      <c r="FB190" s="2297"/>
      <c r="FC190" s="2297"/>
      <c r="FD190" s="2297"/>
      <c r="FE190" s="2297"/>
      <c r="FF190" s="2297"/>
      <c r="FG190" s="2297"/>
      <c r="FH190" s="2297"/>
      <c r="FI190" s="2297"/>
      <c r="FJ190" s="2297"/>
      <c r="FK190" s="2297"/>
      <c r="FL190" s="2297"/>
      <c r="FM190" s="2297"/>
      <c r="FN190" s="2297"/>
      <c r="FO190" s="2297"/>
      <c r="FP190" s="2297"/>
      <c r="FQ190" s="2297"/>
      <c r="FR190" s="2297"/>
      <c r="FS190" s="2297"/>
      <c r="FT190" s="2297"/>
      <c r="FU190" s="2297"/>
      <c r="FV190" s="2297"/>
      <c r="FW190" s="2297"/>
      <c r="FX190" s="2297"/>
      <c r="FY190" s="2297"/>
      <c r="FZ190" s="2297"/>
      <c r="GA190" s="2297"/>
      <c r="GB190" s="2297"/>
      <c r="GC190" s="2297"/>
      <c r="GD190" s="2297"/>
      <c r="GE190" s="2297"/>
      <c r="GF190" s="2297"/>
      <c r="GG190" s="2297"/>
      <c r="GH190" s="2297"/>
      <c r="GI190" s="2297"/>
      <c r="GJ190" s="2297"/>
      <c r="GK190" s="2297"/>
      <c r="GL190" s="2297"/>
      <c r="GM190" s="2297"/>
      <c r="GN190" s="2297"/>
      <c r="GO190" s="2297"/>
      <c r="GP190" s="2297"/>
      <c r="GQ190" s="2297"/>
      <c r="GR190" s="2297"/>
      <c r="GS190" s="2297"/>
      <c r="GT190" s="2297"/>
      <c r="GU190" s="2297"/>
      <c r="GV190" s="2297"/>
      <c r="GW190" s="2297"/>
      <c r="GX190" s="2297"/>
      <c r="GY190" s="2297"/>
      <c r="GZ190" s="2297"/>
      <c r="HA190" s="2297"/>
      <c r="HB190" s="2297"/>
      <c r="HC190" s="2297"/>
      <c r="HD190" s="2297"/>
      <c r="HE190" s="2297"/>
      <c r="HF190" s="2297"/>
      <c r="HG190" s="2297"/>
      <c r="HH190" s="2297"/>
      <c r="HI190" s="2297"/>
      <c r="HJ190" s="2297"/>
      <c r="HK190" s="2297"/>
      <c r="HL190" s="2297"/>
      <c r="HM190" s="2297"/>
      <c r="HN190" s="2297"/>
      <c r="HO190" s="2297"/>
      <c r="HP190" s="2297"/>
      <c r="HQ190" s="2297"/>
      <c r="HR190" s="2297"/>
      <c r="HS190" s="2297"/>
      <c r="HT190" s="2297"/>
      <c r="HU190" s="2297"/>
      <c r="HV190" s="2297"/>
      <c r="HW190" s="2297"/>
      <c r="HX190" s="2297"/>
      <c r="HY190" s="2297"/>
      <c r="HZ190" s="2297"/>
      <c r="IA190" s="2297"/>
      <c r="IB190" s="2297"/>
      <c r="IC190" s="2297"/>
      <c r="ID190" s="2297"/>
      <c r="IE190" s="2297"/>
      <c r="IF190" s="2297"/>
      <c r="IG190" s="2297"/>
      <c r="IH190" s="2297"/>
      <c r="II190" s="2297"/>
      <c r="IJ190" s="2297"/>
      <c r="IK190" s="2297"/>
      <c r="IL190" s="2297"/>
      <c r="IM190" s="2297"/>
      <c r="IN190" s="2297"/>
      <c r="IO190" s="2297"/>
      <c r="IP190" s="2297"/>
      <c r="IQ190" s="2297"/>
      <c r="IR190" s="2297"/>
      <c r="IS190" s="2297"/>
      <c r="IT190" s="2297"/>
      <c r="IU190" s="2297"/>
      <c r="IV190" s="2297"/>
    </row>
    <row r="191" spans="1:256">
      <c r="C191" s="2298"/>
      <c r="D191" s="2298"/>
      <c r="E191" s="2298"/>
      <c r="F191" s="2298"/>
      <c r="G191" s="2298"/>
      <c r="H191" s="2298"/>
      <c r="AC191" s="2297"/>
      <c r="AD191" s="2297"/>
      <c r="AE191" s="2297"/>
      <c r="AF191" s="2297"/>
      <c r="AG191" s="2297"/>
      <c r="AH191" s="2297"/>
      <c r="AI191" s="2297"/>
      <c r="AJ191" s="2297"/>
      <c r="AK191" s="2297"/>
      <c r="AL191" s="2297"/>
      <c r="AM191" s="2297"/>
      <c r="AN191" s="2297"/>
      <c r="AO191" s="2297"/>
      <c r="AP191" s="2297"/>
      <c r="AQ191" s="2297"/>
      <c r="AR191" s="2297"/>
      <c r="AS191" s="2297"/>
      <c r="AT191" s="2297"/>
      <c r="AU191" s="2297"/>
      <c r="AV191" s="2297"/>
      <c r="AW191" s="2297"/>
      <c r="AX191" s="2297"/>
      <c r="AY191" s="2297"/>
      <c r="AZ191" s="2297"/>
      <c r="BA191" s="2297"/>
      <c r="BB191" s="2297"/>
      <c r="BC191" s="2297"/>
      <c r="BD191" s="2297"/>
      <c r="BE191" s="2297"/>
      <c r="BF191" s="2297"/>
      <c r="BG191" s="2297"/>
      <c r="BH191" s="2297"/>
      <c r="BI191" s="2297"/>
      <c r="BJ191" s="2297"/>
      <c r="BK191" s="2297"/>
      <c r="BL191" s="2297"/>
      <c r="BM191" s="2297"/>
      <c r="BN191" s="2297"/>
      <c r="BO191" s="2297"/>
      <c r="BP191" s="2297"/>
      <c r="BQ191" s="2297"/>
      <c r="BR191" s="2297"/>
      <c r="BS191" s="2297"/>
      <c r="BT191" s="2297"/>
      <c r="BU191" s="2297"/>
      <c r="BV191" s="2297"/>
      <c r="BW191" s="2297"/>
      <c r="BX191" s="2297"/>
      <c r="BY191" s="2297"/>
      <c r="BZ191" s="2297"/>
      <c r="CA191" s="2297"/>
      <c r="CB191" s="2297"/>
      <c r="CC191" s="2297"/>
      <c r="CD191" s="2297"/>
      <c r="CE191" s="2297"/>
      <c r="CF191" s="2297"/>
      <c r="CG191" s="2297"/>
      <c r="CH191" s="2297"/>
      <c r="CI191" s="2297"/>
      <c r="CJ191" s="2297"/>
      <c r="CK191" s="2297"/>
      <c r="CL191" s="2297"/>
      <c r="CM191" s="2297"/>
      <c r="CN191" s="2297"/>
      <c r="CO191" s="2297"/>
      <c r="CP191" s="2297"/>
      <c r="CQ191" s="2297"/>
      <c r="CR191" s="2297"/>
      <c r="CS191" s="2297"/>
      <c r="CT191" s="2297"/>
      <c r="CU191" s="2297"/>
      <c r="CV191" s="2297"/>
      <c r="CW191" s="2297"/>
      <c r="CX191" s="2297"/>
      <c r="CY191" s="2297"/>
      <c r="CZ191" s="2297"/>
      <c r="DA191" s="2297"/>
      <c r="DB191" s="2297"/>
      <c r="DC191" s="2297"/>
      <c r="DD191" s="2297"/>
      <c r="DE191" s="2297"/>
      <c r="DF191" s="2297"/>
      <c r="DG191" s="2297"/>
      <c r="DH191" s="2297"/>
      <c r="DI191" s="2297"/>
      <c r="DJ191" s="2297"/>
      <c r="DK191" s="2297"/>
      <c r="DL191" s="2297"/>
      <c r="DM191" s="2297"/>
      <c r="DN191" s="2297"/>
      <c r="DO191" s="2297"/>
      <c r="DP191" s="2297"/>
      <c r="DQ191" s="2297"/>
      <c r="DR191" s="2297"/>
      <c r="DS191" s="2297"/>
      <c r="DT191" s="2297"/>
      <c r="DU191" s="2297"/>
      <c r="DV191" s="2297"/>
      <c r="DW191" s="2297"/>
      <c r="DX191" s="2297"/>
      <c r="DY191" s="2297"/>
      <c r="DZ191" s="2297"/>
      <c r="EA191" s="2297"/>
      <c r="EB191" s="2297"/>
      <c r="EC191" s="2297"/>
      <c r="ED191" s="2297"/>
      <c r="EE191" s="2297"/>
      <c r="EF191" s="2297"/>
      <c r="EG191" s="2297"/>
      <c r="EH191" s="2297"/>
      <c r="EI191" s="2297"/>
      <c r="EJ191" s="2297"/>
      <c r="EK191" s="2297"/>
      <c r="EL191" s="2297"/>
      <c r="EM191" s="2297"/>
      <c r="EN191" s="2297"/>
      <c r="EO191" s="2297"/>
      <c r="EP191" s="2297"/>
      <c r="EQ191" s="2297"/>
      <c r="ER191" s="2297"/>
      <c r="ES191" s="2297"/>
      <c r="ET191" s="2297"/>
      <c r="EU191" s="2297"/>
      <c r="EV191" s="2297"/>
      <c r="EW191" s="2297"/>
      <c r="EX191" s="2297"/>
      <c r="EY191" s="2297"/>
      <c r="EZ191" s="2297"/>
      <c r="FA191" s="2297"/>
      <c r="FB191" s="2297"/>
      <c r="FC191" s="2297"/>
      <c r="FD191" s="2297"/>
      <c r="FE191" s="2297"/>
      <c r="FF191" s="2297"/>
      <c r="FG191" s="2297"/>
      <c r="FH191" s="2297"/>
      <c r="FI191" s="2297"/>
      <c r="FJ191" s="2297"/>
      <c r="FK191" s="2297"/>
      <c r="FL191" s="2297"/>
      <c r="FM191" s="2297"/>
      <c r="FN191" s="2297"/>
      <c r="FO191" s="2297"/>
      <c r="FP191" s="2297"/>
      <c r="FQ191" s="2297"/>
      <c r="FR191" s="2297"/>
      <c r="FS191" s="2297"/>
      <c r="FT191" s="2297"/>
      <c r="FU191" s="2297"/>
      <c r="FV191" s="2297"/>
      <c r="FW191" s="2297"/>
      <c r="FX191" s="2297"/>
      <c r="FY191" s="2297"/>
      <c r="FZ191" s="2297"/>
      <c r="GA191" s="2297"/>
      <c r="GB191" s="2297"/>
      <c r="GC191" s="2297"/>
      <c r="GD191" s="2297"/>
      <c r="GE191" s="2297"/>
      <c r="GF191" s="2297"/>
      <c r="GG191" s="2297"/>
      <c r="GH191" s="2297"/>
      <c r="GI191" s="2297"/>
      <c r="GJ191" s="2297"/>
      <c r="GK191" s="2297"/>
      <c r="GL191" s="2297"/>
      <c r="GM191" s="2297"/>
      <c r="GN191" s="2297"/>
      <c r="GO191" s="2297"/>
      <c r="GP191" s="2297"/>
      <c r="GQ191" s="2297"/>
      <c r="GR191" s="2297"/>
      <c r="GS191" s="2297"/>
      <c r="GT191" s="2297"/>
      <c r="GU191" s="2297"/>
      <c r="GV191" s="2297"/>
      <c r="GW191" s="2297"/>
      <c r="GX191" s="2297"/>
      <c r="GY191" s="2297"/>
      <c r="GZ191" s="2297"/>
      <c r="HA191" s="2297"/>
      <c r="HB191" s="2297"/>
      <c r="HC191" s="2297"/>
      <c r="HD191" s="2297"/>
      <c r="HE191" s="2297"/>
      <c r="HF191" s="2297"/>
      <c r="HG191" s="2297"/>
      <c r="HH191" s="2297"/>
      <c r="HI191" s="2297"/>
      <c r="HJ191" s="2297"/>
      <c r="HK191" s="2297"/>
      <c r="HL191" s="2297"/>
      <c r="HM191" s="2297"/>
      <c r="HN191" s="2297"/>
      <c r="HO191" s="2297"/>
      <c r="HP191" s="2297"/>
      <c r="HQ191" s="2297"/>
      <c r="HR191" s="2297"/>
      <c r="HS191" s="2297"/>
      <c r="HT191" s="2297"/>
      <c r="HU191" s="2297"/>
      <c r="HV191" s="2297"/>
      <c r="HW191" s="2297"/>
      <c r="HX191" s="2297"/>
      <c r="HY191" s="2297"/>
      <c r="HZ191" s="2297"/>
      <c r="IA191" s="2297"/>
      <c r="IB191" s="2297"/>
      <c r="IC191" s="2297"/>
      <c r="ID191" s="2297"/>
      <c r="IE191" s="2297"/>
      <c r="IF191" s="2297"/>
      <c r="IG191" s="2297"/>
      <c r="IH191" s="2297"/>
      <c r="II191" s="2297"/>
      <c r="IJ191" s="2297"/>
      <c r="IK191" s="2297"/>
      <c r="IL191" s="2297"/>
      <c r="IM191" s="2297"/>
      <c r="IN191" s="2297"/>
      <c r="IO191" s="2297"/>
      <c r="IP191" s="2297"/>
      <c r="IQ191" s="2297"/>
      <c r="IR191" s="2297"/>
      <c r="IS191" s="2297"/>
      <c r="IT191" s="2297"/>
      <c r="IU191" s="2297"/>
      <c r="IV191" s="2297"/>
    </row>
    <row r="192" spans="1:256">
      <c r="C192" s="2298"/>
      <c r="D192" s="2298"/>
      <c r="E192" s="2298"/>
      <c r="F192" s="2298"/>
      <c r="G192" s="2298"/>
      <c r="H192" s="2298"/>
      <c r="AC192" s="2297"/>
      <c r="AD192" s="2297"/>
      <c r="AE192" s="2297"/>
      <c r="AF192" s="2297"/>
      <c r="AG192" s="2297"/>
      <c r="AH192" s="2297"/>
      <c r="AI192" s="2297"/>
      <c r="AJ192" s="2297"/>
      <c r="AK192" s="2297"/>
      <c r="AL192" s="2297"/>
      <c r="AM192" s="2297"/>
      <c r="AN192" s="2297"/>
      <c r="AO192" s="2297"/>
      <c r="AP192" s="2297"/>
      <c r="AQ192" s="2297"/>
      <c r="AR192" s="2297"/>
      <c r="AS192" s="2297"/>
      <c r="AT192" s="2297"/>
      <c r="AU192" s="2297"/>
      <c r="AV192" s="2297"/>
      <c r="AW192" s="2297"/>
      <c r="AX192" s="2297"/>
      <c r="AY192" s="2297"/>
      <c r="AZ192" s="2297"/>
      <c r="BA192" s="2297"/>
      <c r="BB192" s="2297"/>
      <c r="BC192" s="2297"/>
      <c r="BD192" s="2297"/>
      <c r="BE192" s="2297"/>
      <c r="BF192" s="2297"/>
      <c r="BG192" s="2297"/>
      <c r="BH192" s="2297"/>
      <c r="BI192" s="2297"/>
      <c r="BJ192" s="2297"/>
      <c r="BK192" s="2297"/>
      <c r="BL192" s="2297"/>
      <c r="BM192" s="2297"/>
      <c r="BN192" s="2297"/>
      <c r="BO192" s="2297"/>
      <c r="BP192" s="2297"/>
      <c r="BQ192" s="2297"/>
      <c r="BR192" s="2297"/>
      <c r="BS192" s="2297"/>
      <c r="BT192" s="2297"/>
      <c r="BU192" s="2297"/>
      <c r="BV192" s="2297"/>
      <c r="BW192" s="2297"/>
      <c r="BX192" s="2297"/>
      <c r="BY192" s="2297"/>
      <c r="BZ192" s="2297"/>
      <c r="CA192" s="2297"/>
      <c r="CB192" s="2297"/>
      <c r="CC192" s="2297"/>
      <c r="CD192" s="2297"/>
      <c r="CE192" s="2297"/>
      <c r="CF192" s="2297"/>
      <c r="CG192" s="2297"/>
      <c r="CH192" s="2297"/>
      <c r="CI192" s="2297"/>
      <c r="CJ192" s="2297"/>
      <c r="CK192" s="2297"/>
      <c r="CL192" s="2297"/>
      <c r="CM192" s="2297"/>
      <c r="CN192" s="2297"/>
      <c r="CO192" s="2297"/>
      <c r="CP192" s="2297"/>
      <c r="CQ192" s="2297"/>
      <c r="CR192" s="2297"/>
      <c r="CS192" s="2297"/>
      <c r="CT192" s="2297"/>
      <c r="CU192" s="2297"/>
      <c r="CV192" s="2297"/>
      <c r="CW192" s="2297"/>
      <c r="CX192" s="2297"/>
      <c r="CY192" s="2297"/>
      <c r="CZ192" s="2297"/>
      <c r="DA192" s="2297"/>
      <c r="DB192" s="2297"/>
      <c r="DC192" s="2297"/>
      <c r="DD192" s="2297"/>
      <c r="DE192" s="2297"/>
      <c r="DF192" s="2297"/>
      <c r="DG192" s="2297"/>
      <c r="DH192" s="2297"/>
      <c r="DI192" s="2297"/>
      <c r="DJ192" s="2297"/>
      <c r="DK192" s="2297"/>
      <c r="DL192" s="2297"/>
      <c r="DM192" s="2297"/>
      <c r="DN192" s="2297"/>
      <c r="DO192" s="2297"/>
      <c r="DP192" s="2297"/>
      <c r="DQ192" s="2297"/>
      <c r="DR192" s="2297"/>
      <c r="DS192" s="2297"/>
      <c r="DT192" s="2297"/>
      <c r="DU192" s="2297"/>
      <c r="DV192" s="2297"/>
      <c r="DW192" s="2297"/>
      <c r="DX192" s="2297"/>
      <c r="DY192" s="2297"/>
      <c r="DZ192" s="2297"/>
      <c r="EA192" s="2297"/>
      <c r="EB192" s="2297"/>
      <c r="EC192" s="2297"/>
      <c r="ED192" s="2297"/>
      <c r="EE192" s="2297"/>
      <c r="EF192" s="2297"/>
      <c r="EG192" s="2297"/>
      <c r="EH192" s="2297"/>
      <c r="EI192" s="2297"/>
      <c r="EJ192" s="2297"/>
      <c r="EK192" s="2297"/>
      <c r="EL192" s="2297"/>
      <c r="EM192" s="2297"/>
      <c r="EN192" s="2297"/>
      <c r="EO192" s="2297"/>
      <c r="EP192" s="2297"/>
      <c r="EQ192" s="2297"/>
      <c r="ER192" s="2297"/>
      <c r="ES192" s="2297"/>
      <c r="ET192" s="2297"/>
      <c r="EU192" s="2297"/>
      <c r="EV192" s="2297"/>
      <c r="EW192" s="2297"/>
      <c r="EX192" s="2297"/>
      <c r="EY192" s="2297"/>
      <c r="EZ192" s="2297"/>
      <c r="FA192" s="2297"/>
      <c r="FB192" s="2297"/>
      <c r="FC192" s="2297"/>
      <c r="FD192" s="2297"/>
      <c r="FE192" s="2297"/>
      <c r="FF192" s="2297"/>
      <c r="FG192" s="2297"/>
      <c r="FH192" s="2297"/>
      <c r="FI192" s="2297"/>
      <c r="FJ192" s="2297"/>
      <c r="FK192" s="2297"/>
      <c r="FL192" s="2297"/>
      <c r="FM192" s="2297"/>
      <c r="FN192" s="2297"/>
      <c r="FO192" s="2297"/>
      <c r="FP192" s="2297"/>
      <c r="FQ192" s="2297"/>
      <c r="FR192" s="2297"/>
      <c r="FS192" s="2297"/>
      <c r="FT192" s="2297"/>
      <c r="FU192" s="2297"/>
      <c r="FV192" s="2297"/>
      <c r="FW192" s="2297"/>
      <c r="FX192" s="2297"/>
      <c r="FY192" s="2297"/>
      <c r="FZ192" s="2297"/>
      <c r="GA192" s="2297"/>
      <c r="GB192" s="2297"/>
      <c r="GC192" s="2297"/>
      <c r="GD192" s="2297"/>
      <c r="GE192" s="2297"/>
      <c r="GF192" s="2297"/>
      <c r="GG192" s="2297"/>
      <c r="GH192" s="2297"/>
      <c r="GI192" s="2297"/>
      <c r="GJ192" s="2297"/>
      <c r="GK192" s="2297"/>
      <c r="GL192" s="2297"/>
      <c r="GM192" s="2297"/>
      <c r="GN192" s="2297"/>
      <c r="GO192" s="2297"/>
      <c r="GP192" s="2297"/>
      <c r="GQ192" s="2297"/>
      <c r="GR192" s="2297"/>
      <c r="GS192" s="2297"/>
      <c r="GT192" s="2297"/>
      <c r="GU192" s="2297"/>
      <c r="GV192" s="2297"/>
      <c r="GW192" s="2297"/>
      <c r="GX192" s="2297"/>
      <c r="GY192" s="2297"/>
      <c r="GZ192" s="2297"/>
      <c r="HA192" s="2297"/>
      <c r="HB192" s="2297"/>
      <c r="HC192" s="2297"/>
      <c r="HD192" s="2297"/>
      <c r="HE192" s="2297"/>
      <c r="HF192" s="2297"/>
      <c r="HG192" s="2297"/>
      <c r="HH192" s="2297"/>
      <c r="HI192" s="2297"/>
      <c r="HJ192" s="2297"/>
      <c r="HK192" s="2297"/>
      <c r="HL192" s="2297"/>
      <c r="HM192" s="2297"/>
      <c r="HN192" s="2297"/>
      <c r="HO192" s="2297"/>
      <c r="HP192" s="2297"/>
      <c r="HQ192" s="2297"/>
      <c r="HR192" s="2297"/>
      <c r="HS192" s="2297"/>
      <c r="HT192" s="2297"/>
      <c r="HU192" s="2297"/>
      <c r="HV192" s="2297"/>
      <c r="HW192" s="2297"/>
      <c r="HX192" s="2297"/>
      <c r="HY192" s="2297"/>
      <c r="HZ192" s="2297"/>
      <c r="IA192" s="2297"/>
      <c r="IB192" s="2297"/>
      <c r="IC192" s="2297"/>
      <c r="ID192" s="2297"/>
      <c r="IE192" s="2297"/>
      <c r="IF192" s="2297"/>
      <c r="IG192" s="2297"/>
      <c r="IH192" s="2297"/>
      <c r="II192" s="2297"/>
      <c r="IJ192" s="2297"/>
      <c r="IK192" s="2297"/>
      <c r="IL192" s="2297"/>
      <c r="IM192" s="2297"/>
      <c r="IN192" s="2297"/>
      <c r="IO192" s="2297"/>
      <c r="IP192" s="2297"/>
      <c r="IQ192" s="2297"/>
      <c r="IR192" s="2297"/>
      <c r="IS192" s="2297"/>
      <c r="IT192" s="2297"/>
      <c r="IU192" s="2297"/>
      <c r="IV192" s="2297"/>
    </row>
    <row r="193" spans="3:256">
      <c r="C193" s="2298"/>
      <c r="D193" s="2298"/>
      <c r="E193" s="2298"/>
      <c r="F193" s="2298"/>
      <c r="G193" s="2298"/>
      <c r="H193" s="2298"/>
      <c r="AC193" s="2297"/>
      <c r="AD193" s="2297"/>
      <c r="AE193" s="2297"/>
      <c r="AF193" s="2297"/>
      <c r="AG193" s="2297"/>
      <c r="AH193" s="2297"/>
      <c r="AI193" s="2297"/>
      <c r="AJ193" s="2297"/>
      <c r="AK193" s="2297"/>
      <c r="AL193" s="2297"/>
      <c r="AM193" s="2297"/>
      <c r="AN193" s="2297"/>
      <c r="AO193" s="2297"/>
      <c r="AP193" s="2297"/>
      <c r="AQ193" s="2297"/>
      <c r="AR193" s="2297"/>
      <c r="AS193" s="2297"/>
      <c r="AT193" s="2297"/>
      <c r="AU193" s="2297"/>
      <c r="AV193" s="2297"/>
      <c r="AW193" s="2297"/>
      <c r="AX193" s="2297"/>
      <c r="AY193" s="2297"/>
      <c r="AZ193" s="2297"/>
      <c r="BA193" s="2297"/>
      <c r="BB193" s="2297"/>
      <c r="BC193" s="2297"/>
      <c r="BD193" s="2297"/>
      <c r="BE193" s="2297"/>
      <c r="BF193" s="2297"/>
      <c r="BG193" s="2297"/>
      <c r="BH193" s="2297"/>
      <c r="BI193" s="2297"/>
      <c r="BJ193" s="2297"/>
      <c r="BK193" s="2297"/>
      <c r="BL193" s="2297"/>
      <c r="BM193" s="2297"/>
      <c r="BN193" s="2297"/>
      <c r="BO193" s="2297"/>
      <c r="BP193" s="2297"/>
      <c r="BQ193" s="2297"/>
      <c r="BR193" s="2297"/>
      <c r="BS193" s="2297"/>
      <c r="BT193" s="2297"/>
      <c r="BU193" s="2297"/>
      <c r="BV193" s="2297"/>
      <c r="BW193" s="2297"/>
      <c r="BX193" s="2297"/>
      <c r="BY193" s="2297"/>
      <c r="BZ193" s="2297"/>
      <c r="CA193" s="2297"/>
      <c r="CB193" s="2297"/>
      <c r="CC193" s="2297"/>
      <c r="CD193" s="2297"/>
      <c r="CE193" s="2297"/>
      <c r="CF193" s="2297"/>
      <c r="CG193" s="2297"/>
      <c r="CH193" s="2297"/>
      <c r="CI193" s="2297"/>
      <c r="CJ193" s="2297"/>
      <c r="CK193" s="2297"/>
      <c r="CL193" s="2297"/>
      <c r="CM193" s="2297"/>
      <c r="CN193" s="2297"/>
      <c r="CO193" s="2297"/>
      <c r="CP193" s="2297"/>
      <c r="CQ193" s="2297"/>
      <c r="CR193" s="2297"/>
      <c r="CS193" s="2297"/>
      <c r="CT193" s="2297"/>
      <c r="CU193" s="2297"/>
      <c r="CV193" s="2297"/>
      <c r="CW193" s="2297"/>
      <c r="CX193" s="2297"/>
      <c r="CY193" s="2297"/>
      <c r="CZ193" s="2297"/>
      <c r="DA193" s="2297"/>
      <c r="DB193" s="2297"/>
      <c r="DC193" s="2297"/>
      <c r="DD193" s="2297"/>
      <c r="DE193" s="2297"/>
      <c r="DF193" s="2297"/>
      <c r="DG193" s="2297"/>
      <c r="DH193" s="2297"/>
      <c r="DI193" s="2297"/>
      <c r="DJ193" s="2297"/>
      <c r="DK193" s="2297"/>
      <c r="DL193" s="2297"/>
      <c r="DM193" s="2297"/>
      <c r="DN193" s="2297"/>
      <c r="DO193" s="2297"/>
      <c r="DP193" s="2297"/>
      <c r="DQ193" s="2297"/>
      <c r="DR193" s="2297"/>
      <c r="DS193" s="2297"/>
      <c r="DT193" s="2297"/>
      <c r="DU193" s="2297"/>
      <c r="DV193" s="2297"/>
      <c r="DW193" s="2297"/>
      <c r="DX193" s="2297"/>
      <c r="DY193" s="2297"/>
      <c r="DZ193" s="2297"/>
      <c r="EA193" s="2297"/>
      <c r="EB193" s="2297"/>
      <c r="EC193" s="2297"/>
      <c r="ED193" s="2297"/>
      <c r="EE193" s="2297"/>
      <c r="EF193" s="2297"/>
      <c r="EG193" s="2297"/>
      <c r="EH193" s="2297"/>
      <c r="EI193" s="2297"/>
      <c r="EJ193" s="2297"/>
      <c r="EK193" s="2297"/>
      <c r="EL193" s="2297"/>
      <c r="EM193" s="2297"/>
      <c r="EN193" s="2297"/>
      <c r="EO193" s="2297"/>
      <c r="EP193" s="2297"/>
      <c r="EQ193" s="2297"/>
      <c r="ER193" s="2297"/>
      <c r="ES193" s="2297"/>
      <c r="ET193" s="2297"/>
      <c r="EU193" s="2297"/>
      <c r="EV193" s="2297"/>
      <c r="EW193" s="2297"/>
      <c r="EX193" s="2297"/>
      <c r="EY193" s="2297"/>
      <c r="EZ193" s="2297"/>
      <c r="FA193" s="2297"/>
      <c r="FB193" s="2297"/>
      <c r="FC193" s="2297"/>
      <c r="FD193" s="2297"/>
      <c r="FE193" s="2297"/>
      <c r="FF193" s="2297"/>
      <c r="FG193" s="2297"/>
      <c r="FH193" s="2297"/>
      <c r="FI193" s="2297"/>
      <c r="FJ193" s="2297"/>
      <c r="FK193" s="2297"/>
      <c r="FL193" s="2297"/>
      <c r="FM193" s="2297"/>
      <c r="FN193" s="2297"/>
      <c r="FO193" s="2297"/>
      <c r="FP193" s="2297"/>
      <c r="FQ193" s="2297"/>
      <c r="FR193" s="2297"/>
      <c r="FS193" s="2297"/>
      <c r="FT193" s="2297"/>
      <c r="FU193" s="2297"/>
      <c r="FV193" s="2297"/>
      <c r="FW193" s="2297"/>
      <c r="FX193" s="2297"/>
      <c r="FY193" s="2297"/>
      <c r="FZ193" s="2297"/>
      <c r="GA193" s="2297"/>
      <c r="GB193" s="2297"/>
      <c r="GC193" s="2297"/>
      <c r="GD193" s="2297"/>
      <c r="GE193" s="2297"/>
      <c r="GF193" s="2297"/>
      <c r="GG193" s="2297"/>
      <c r="GH193" s="2297"/>
      <c r="GI193" s="2297"/>
      <c r="GJ193" s="2297"/>
      <c r="GK193" s="2297"/>
      <c r="GL193" s="2297"/>
      <c r="GM193" s="2297"/>
      <c r="GN193" s="2297"/>
      <c r="GO193" s="2297"/>
      <c r="GP193" s="2297"/>
      <c r="GQ193" s="2297"/>
      <c r="GR193" s="2297"/>
      <c r="GS193" s="2297"/>
      <c r="GT193" s="2297"/>
      <c r="GU193" s="2297"/>
      <c r="GV193" s="2297"/>
      <c r="GW193" s="2297"/>
      <c r="GX193" s="2297"/>
      <c r="GY193" s="2297"/>
      <c r="GZ193" s="2297"/>
      <c r="HA193" s="2297"/>
      <c r="HB193" s="2297"/>
      <c r="HC193" s="2297"/>
      <c r="HD193" s="2297"/>
      <c r="HE193" s="2297"/>
      <c r="HF193" s="2297"/>
      <c r="HG193" s="2297"/>
      <c r="HH193" s="2297"/>
      <c r="HI193" s="2297"/>
      <c r="HJ193" s="2297"/>
      <c r="HK193" s="2297"/>
      <c r="HL193" s="2297"/>
      <c r="HM193" s="2297"/>
      <c r="HN193" s="2297"/>
      <c r="HO193" s="2297"/>
      <c r="HP193" s="2297"/>
      <c r="HQ193" s="2297"/>
      <c r="HR193" s="2297"/>
      <c r="HS193" s="2297"/>
      <c r="HT193" s="2297"/>
      <c r="HU193" s="2297"/>
      <c r="HV193" s="2297"/>
      <c r="HW193" s="2297"/>
      <c r="HX193" s="2297"/>
      <c r="HY193" s="2297"/>
      <c r="HZ193" s="2297"/>
      <c r="IA193" s="2297"/>
      <c r="IB193" s="2297"/>
      <c r="IC193" s="2297"/>
      <c r="ID193" s="2297"/>
      <c r="IE193" s="2297"/>
      <c r="IF193" s="2297"/>
      <c r="IG193" s="2297"/>
      <c r="IH193" s="2297"/>
      <c r="II193" s="2297"/>
      <c r="IJ193" s="2297"/>
      <c r="IK193" s="2297"/>
      <c r="IL193" s="2297"/>
      <c r="IM193" s="2297"/>
      <c r="IN193" s="2297"/>
      <c r="IO193" s="2297"/>
      <c r="IP193" s="2297"/>
      <c r="IQ193" s="2297"/>
      <c r="IR193" s="2297"/>
      <c r="IS193" s="2297"/>
      <c r="IT193" s="2297"/>
      <c r="IU193" s="2297"/>
      <c r="IV193" s="2297"/>
    </row>
    <row r="194" spans="3:256">
      <c r="C194" s="2298"/>
      <c r="D194" s="2298"/>
      <c r="E194" s="2298"/>
      <c r="F194" s="2298"/>
      <c r="G194" s="2298"/>
      <c r="H194" s="2298"/>
      <c r="AC194" s="2297"/>
      <c r="AD194" s="2297"/>
      <c r="AE194" s="2297"/>
      <c r="AF194" s="2297"/>
      <c r="AG194" s="2297"/>
      <c r="AH194" s="2297"/>
      <c r="AI194" s="2297"/>
      <c r="AJ194" s="2297"/>
      <c r="AK194" s="2297"/>
      <c r="AL194" s="2297"/>
      <c r="AM194" s="2297"/>
      <c r="AN194" s="2297"/>
      <c r="AO194" s="2297"/>
      <c r="AP194" s="2297"/>
      <c r="AQ194" s="2297"/>
      <c r="AR194" s="2297"/>
      <c r="AS194" s="2297"/>
      <c r="AT194" s="2297"/>
      <c r="AU194" s="2297"/>
      <c r="AV194" s="2297"/>
      <c r="AW194" s="2297"/>
      <c r="AX194" s="2297"/>
      <c r="AY194" s="2297"/>
      <c r="AZ194" s="2297"/>
      <c r="BA194" s="2297"/>
      <c r="BB194" s="2297"/>
      <c r="BC194" s="2297"/>
      <c r="BD194" s="2297"/>
      <c r="BE194" s="2297"/>
      <c r="BF194" s="2297"/>
      <c r="BG194" s="2297"/>
      <c r="BH194" s="2297"/>
      <c r="BI194" s="2297"/>
      <c r="BJ194" s="2297"/>
      <c r="BK194" s="2297"/>
      <c r="BL194" s="2297"/>
      <c r="BM194" s="2297"/>
      <c r="BN194" s="2297"/>
      <c r="BO194" s="2297"/>
      <c r="BP194" s="2297"/>
      <c r="BQ194" s="2297"/>
      <c r="BR194" s="2297"/>
      <c r="BS194" s="2297"/>
      <c r="BT194" s="2297"/>
      <c r="BU194" s="2297"/>
      <c r="BV194" s="2297"/>
      <c r="BW194" s="2297"/>
      <c r="BX194" s="2297"/>
      <c r="BY194" s="2297"/>
      <c r="BZ194" s="2297"/>
      <c r="CA194" s="2297"/>
      <c r="CB194" s="2297"/>
      <c r="CC194" s="2297"/>
      <c r="CD194" s="2297"/>
      <c r="CE194" s="2297"/>
      <c r="CF194" s="2297"/>
      <c r="CG194" s="2297"/>
      <c r="CH194" s="2297"/>
      <c r="CI194" s="2297"/>
      <c r="CJ194" s="2297"/>
      <c r="CK194" s="2297"/>
      <c r="CL194" s="2297"/>
      <c r="CM194" s="2297"/>
      <c r="CN194" s="2297"/>
      <c r="CO194" s="2297"/>
      <c r="CP194" s="2297"/>
      <c r="CQ194" s="2297"/>
      <c r="CR194" s="2297"/>
      <c r="CS194" s="2297"/>
      <c r="CT194" s="2297"/>
      <c r="CU194" s="2297"/>
      <c r="CV194" s="2297"/>
      <c r="CW194" s="2297"/>
      <c r="CX194" s="2297"/>
      <c r="CY194" s="2297"/>
      <c r="CZ194" s="2297"/>
      <c r="DA194" s="2297"/>
      <c r="DB194" s="2297"/>
      <c r="DC194" s="2297"/>
      <c r="DD194" s="2297"/>
      <c r="DE194" s="2297"/>
      <c r="DF194" s="2297"/>
      <c r="DG194" s="2297"/>
      <c r="DH194" s="2297"/>
      <c r="DI194" s="2297"/>
      <c r="DJ194" s="2297"/>
      <c r="DK194" s="2297"/>
      <c r="DL194" s="2297"/>
      <c r="DM194" s="2297"/>
      <c r="DN194" s="2297"/>
      <c r="DO194" s="2297"/>
      <c r="DP194" s="2297"/>
      <c r="DQ194" s="2297"/>
      <c r="DR194" s="2297"/>
      <c r="DS194" s="2297"/>
      <c r="DT194" s="2297"/>
      <c r="DU194" s="2297"/>
      <c r="DV194" s="2297"/>
      <c r="DW194" s="2297"/>
      <c r="DX194" s="2297"/>
      <c r="DY194" s="2297"/>
      <c r="DZ194" s="2297"/>
      <c r="EA194" s="2297"/>
      <c r="EB194" s="2297"/>
      <c r="EC194" s="2297"/>
      <c r="ED194" s="2297"/>
      <c r="EE194" s="2297"/>
      <c r="EF194" s="2297"/>
      <c r="EG194" s="2297"/>
      <c r="EH194" s="2297"/>
      <c r="EI194" s="2297"/>
      <c r="EJ194" s="2297"/>
      <c r="EK194" s="2297"/>
      <c r="EL194" s="2297"/>
      <c r="EM194" s="2297"/>
      <c r="EN194" s="2297"/>
      <c r="EO194" s="2297"/>
      <c r="EP194" s="2297"/>
      <c r="EQ194" s="2297"/>
      <c r="ER194" s="2297"/>
      <c r="ES194" s="2297"/>
      <c r="ET194" s="2297"/>
      <c r="EU194" s="2297"/>
      <c r="EV194" s="2297"/>
      <c r="EW194" s="2297"/>
      <c r="EX194" s="2297"/>
      <c r="EY194" s="2297"/>
      <c r="EZ194" s="2297"/>
      <c r="FA194" s="2297"/>
      <c r="FB194" s="2297"/>
      <c r="FC194" s="2297"/>
      <c r="FD194" s="2297"/>
      <c r="FE194" s="2297"/>
      <c r="FF194" s="2297"/>
      <c r="FG194" s="2297"/>
      <c r="FH194" s="2297"/>
      <c r="FI194" s="2297"/>
      <c r="FJ194" s="2297"/>
      <c r="FK194" s="2297"/>
      <c r="FL194" s="2297"/>
      <c r="FM194" s="2297"/>
      <c r="FN194" s="2297"/>
      <c r="FO194" s="2297"/>
      <c r="FP194" s="2297"/>
      <c r="FQ194" s="2297"/>
      <c r="FR194" s="2297"/>
      <c r="FS194" s="2297"/>
      <c r="FT194" s="2297"/>
      <c r="FU194" s="2297"/>
      <c r="FV194" s="2297"/>
      <c r="FW194" s="2297"/>
      <c r="FX194" s="2297"/>
      <c r="FY194" s="2297"/>
      <c r="FZ194" s="2297"/>
      <c r="GA194" s="2297"/>
      <c r="GB194" s="2297"/>
      <c r="GC194" s="2297"/>
      <c r="GD194" s="2297"/>
      <c r="GE194" s="2297"/>
      <c r="GF194" s="2297"/>
      <c r="GG194" s="2297"/>
      <c r="GH194" s="2297"/>
      <c r="GI194" s="2297"/>
      <c r="GJ194" s="2297"/>
      <c r="GK194" s="2297"/>
      <c r="GL194" s="2297"/>
      <c r="GM194" s="2297"/>
      <c r="GN194" s="2297"/>
      <c r="GO194" s="2297"/>
      <c r="GP194" s="2297"/>
      <c r="GQ194" s="2297"/>
      <c r="GR194" s="2297"/>
      <c r="GS194" s="2297"/>
      <c r="GT194" s="2297"/>
      <c r="GU194" s="2297"/>
      <c r="GV194" s="2297"/>
      <c r="GW194" s="2297"/>
      <c r="GX194" s="2297"/>
      <c r="GY194" s="2297"/>
      <c r="GZ194" s="2297"/>
      <c r="HA194" s="2297"/>
      <c r="HB194" s="2297"/>
      <c r="HC194" s="2297"/>
      <c r="HD194" s="2297"/>
      <c r="HE194" s="2297"/>
      <c r="HF194" s="2297"/>
      <c r="HG194" s="2297"/>
      <c r="HH194" s="2297"/>
      <c r="HI194" s="2297"/>
      <c r="HJ194" s="2297"/>
      <c r="HK194" s="2297"/>
      <c r="HL194" s="2297"/>
      <c r="HM194" s="2297"/>
      <c r="HN194" s="2297"/>
      <c r="HO194" s="2297"/>
      <c r="HP194" s="2297"/>
      <c r="HQ194" s="2297"/>
      <c r="HR194" s="2297"/>
      <c r="HS194" s="2297"/>
      <c r="HT194" s="2297"/>
      <c r="HU194" s="2297"/>
      <c r="HV194" s="2297"/>
      <c r="HW194" s="2297"/>
      <c r="HX194" s="2297"/>
      <c r="HY194" s="2297"/>
      <c r="HZ194" s="2297"/>
      <c r="IA194" s="2297"/>
      <c r="IB194" s="2297"/>
      <c r="IC194" s="2297"/>
      <c r="ID194" s="2297"/>
      <c r="IE194" s="2297"/>
      <c r="IF194" s="2297"/>
      <c r="IG194" s="2297"/>
      <c r="IH194" s="2297"/>
      <c r="II194" s="2297"/>
      <c r="IJ194" s="2297"/>
      <c r="IK194" s="2297"/>
      <c r="IL194" s="2297"/>
      <c r="IM194" s="2297"/>
      <c r="IN194" s="2297"/>
      <c r="IO194" s="2297"/>
      <c r="IP194" s="2297"/>
      <c r="IQ194" s="2297"/>
      <c r="IR194" s="2297"/>
      <c r="IS194" s="2297"/>
      <c r="IT194" s="2297"/>
      <c r="IU194" s="2297"/>
      <c r="IV194" s="2297"/>
    </row>
    <row r="195" spans="3:256">
      <c r="C195" s="2298"/>
      <c r="D195" s="2298"/>
      <c r="E195" s="2298"/>
      <c r="F195" s="2298"/>
      <c r="G195" s="2298"/>
      <c r="H195" s="2298"/>
      <c r="AC195" s="2297"/>
      <c r="AD195" s="2297"/>
      <c r="AE195" s="2297"/>
      <c r="AF195" s="2297"/>
      <c r="AG195" s="2297"/>
      <c r="AH195" s="2297"/>
      <c r="AI195" s="2297"/>
      <c r="AJ195" s="2297"/>
      <c r="AK195" s="2297"/>
      <c r="AL195" s="2297"/>
      <c r="AM195" s="2297"/>
      <c r="AN195" s="2297"/>
      <c r="AO195" s="2297"/>
      <c r="AP195" s="2297"/>
      <c r="AQ195" s="2297"/>
      <c r="AR195" s="2297"/>
      <c r="AS195" s="2297"/>
      <c r="AT195" s="2297"/>
      <c r="AU195" s="2297"/>
      <c r="AV195" s="2297"/>
      <c r="AW195" s="2297"/>
      <c r="AX195" s="2297"/>
      <c r="AY195" s="2297"/>
      <c r="AZ195" s="2297"/>
      <c r="BA195" s="2297"/>
      <c r="BB195" s="2297"/>
      <c r="BC195" s="2297"/>
      <c r="BD195" s="2297"/>
      <c r="BE195" s="2297"/>
      <c r="BF195" s="2297"/>
      <c r="BG195" s="2297"/>
      <c r="BH195" s="2297"/>
      <c r="BI195" s="2297"/>
      <c r="BJ195" s="2297"/>
      <c r="BK195" s="2297"/>
      <c r="BL195" s="2297"/>
      <c r="BM195" s="2297"/>
      <c r="BN195" s="2297"/>
      <c r="BO195" s="2297"/>
      <c r="BP195" s="2297"/>
      <c r="BQ195" s="2297"/>
      <c r="BR195" s="2297"/>
      <c r="BS195" s="2297"/>
      <c r="BT195" s="2297"/>
      <c r="BU195" s="2297"/>
      <c r="BV195" s="2297"/>
      <c r="BW195" s="2297"/>
      <c r="BX195" s="2297"/>
      <c r="BY195" s="2297"/>
      <c r="BZ195" s="2297"/>
      <c r="CA195" s="2297"/>
      <c r="CB195" s="2297"/>
      <c r="CC195" s="2297"/>
      <c r="CD195" s="2297"/>
      <c r="CE195" s="2297"/>
      <c r="CF195" s="2297"/>
      <c r="CG195" s="2297"/>
      <c r="CH195" s="2297"/>
      <c r="CI195" s="2297"/>
      <c r="CJ195" s="2297"/>
      <c r="CK195" s="2297"/>
      <c r="CL195" s="2297"/>
      <c r="CM195" s="2297"/>
      <c r="CN195" s="2297"/>
      <c r="CO195" s="2297"/>
      <c r="CP195" s="2297"/>
      <c r="CQ195" s="2297"/>
      <c r="CR195" s="2297"/>
      <c r="CS195" s="2297"/>
      <c r="CT195" s="2297"/>
      <c r="CU195" s="2297"/>
      <c r="CV195" s="2297"/>
      <c r="CW195" s="2297"/>
      <c r="CX195" s="2297"/>
      <c r="CY195" s="2297"/>
      <c r="CZ195" s="2297"/>
      <c r="DA195" s="2297"/>
      <c r="DB195" s="2297"/>
      <c r="DC195" s="2297"/>
      <c r="DD195" s="2297"/>
      <c r="DE195" s="2297"/>
      <c r="DF195" s="2297"/>
      <c r="DG195" s="2297"/>
      <c r="DH195" s="2297"/>
      <c r="DI195" s="2297"/>
      <c r="DJ195" s="2297"/>
      <c r="DK195" s="2297"/>
      <c r="DL195" s="2297"/>
      <c r="DM195" s="2297"/>
      <c r="DN195" s="2297"/>
      <c r="DO195" s="2297"/>
      <c r="DP195" s="2297"/>
      <c r="DQ195" s="2297"/>
      <c r="DR195" s="2297"/>
      <c r="DS195" s="2297"/>
      <c r="DT195" s="2297"/>
      <c r="DU195" s="2297"/>
      <c r="DV195" s="2297"/>
      <c r="DW195" s="2297"/>
      <c r="DX195" s="2297"/>
      <c r="DY195" s="2297"/>
      <c r="DZ195" s="2297"/>
      <c r="EA195" s="2297"/>
      <c r="EB195" s="2297"/>
      <c r="EC195" s="2297"/>
      <c r="ED195" s="2297"/>
      <c r="EE195" s="2297"/>
      <c r="EF195" s="2297"/>
      <c r="EG195" s="2297"/>
      <c r="EH195" s="2297"/>
      <c r="EI195" s="2297"/>
      <c r="EJ195" s="2297"/>
      <c r="EK195" s="2297"/>
      <c r="EL195" s="2297"/>
      <c r="EM195" s="2297"/>
      <c r="EN195" s="2297"/>
      <c r="EO195" s="2297"/>
      <c r="EP195" s="2297"/>
      <c r="EQ195" s="2297"/>
      <c r="ER195" s="2297"/>
      <c r="ES195" s="2297"/>
      <c r="ET195" s="2297"/>
      <c r="EU195" s="2297"/>
      <c r="EV195" s="2297"/>
      <c r="EW195" s="2297"/>
      <c r="EX195" s="2297"/>
      <c r="EY195" s="2297"/>
      <c r="EZ195" s="2297"/>
      <c r="FA195" s="2297"/>
      <c r="FB195" s="2297"/>
      <c r="FC195" s="2297"/>
      <c r="FD195" s="2297"/>
      <c r="FE195" s="2297"/>
      <c r="FF195" s="2297"/>
      <c r="FG195" s="2297"/>
      <c r="FH195" s="2297"/>
      <c r="FI195" s="2297"/>
      <c r="FJ195" s="2297"/>
      <c r="FK195" s="2297"/>
      <c r="FL195" s="2297"/>
      <c r="FM195" s="2297"/>
      <c r="FN195" s="2297"/>
      <c r="FO195" s="2297"/>
      <c r="FP195" s="2297"/>
      <c r="FQ195" s="2297"/>
      <c r="FR195" s="2297"/>
      <c r="FS195" s="2297"/>
      <c r="FT195" s="2297"/>
      <c r="FU195" s="2297"/>
      <c r="FV195" s="2297"/>
      <c r="FW195" s="2297"/>
      <c r="FX195" s="2297"/>
      <c r="FY195" s="2297"/>
      <c r="FZ195" s="2297"/>
      <c r="GA195" s="2297"/>
      <c r="GB195" s="2297"/>
      <c r="GC195" s="2297"/>
      <c r="GD195" s="2297"/>
      <c r="GE195" s="2297"/>
      <c r="GF195" s="2297"/>
      <c r="GG195" s="2297"/>
      <c r="GH195" s="2297"/>
      <c r="GI195" s="2297"/>
      <c r="GJ195" s="2297"/>
      <c r="GK195" s="2297"/>
      <c r="GL195" s="2297"/>
      <c r="GM195" s="2297"/>
      <c r="GN195" s="2297"/>
      <c r="GO195" s="2297"/>
      <c r="GP195" s="2297"/>
      <c r="GQ195" s="2297"/>
      <c r="GR195" s="2297"/>
      <c r="GS195" s="2297"/>
      <c r="GT195" s="2297"/>
      <c r="GU195" s="2297"/>
      <c r="GV195" s="2297"/>
      <c r="GW195" s="2297"/>
      <c r="GX195" s="2297"/>
      <c r="GY195" s="2297"/>
      <c r="GZ195" s="2297"/>
      <c r="HA195" s="2297"/>
      <c r="HB195" s="2297"/>
      <c r="HC195" s="2297"/>
      <c r="HD195" s="2297"/>
      <c r="HE195" s="2297"/>
      <c r="HF195" s="2297"/>
      <c r="HG195" s="2297"/>
      <c r="HH195" s="2297"/>
      <c r="HI195" s="2297"/>
      <c r="HJ195" s="2297"/>
      <c r="HK195" s="2297"/>
      <c r="HL195" s="2297"/>
      <c r="HM195" s="2297"/>
      <c r="HN195" s="2297"/>
      <c r="HO195" s="2297"/>
      <c r="HP195" s="2297"/>
      <c r="HQ195" s="2297"/>
      <c r="HR195" s="2297"/>
      <c r="HS195" s="2297"/>
      <c r="HT195" s="2297"/>
      <c r="HU195" s="2297"/>
      <c r="HV195" s="2297"/>
      <c r="HW195" s="2297"/>
      <c r="HX195" s="2297"/>
      <c r="HY195" s="2297"/>
      <c r="HZ195" s="2297"/>
      <c r="IA195" s="2297"/>
      <c r="IB195" s="2297"/>
      <c r="IC195" s="2297"/>
      <c r="ID195" s="2297"/>
      <c r="IE195" s="2297"/>
      <c r="IF195" s="2297"/>
      <c r="IG195" s="2297"/>
      <c r="IH195" s="2297"/>
      <c r="II195" s="2297"/>
      <c r="IJ195" s="2297"/>
      <c r="IK195" s="2297"/>
      <c r="IL195" s="2297"/>
      <c r="IM195" s="2297"/>
      <c r="IN195" s="2297"/>
      <c r="IO195" s="2297"/>
      <c r="IP195" s="2297"/>
      <c r="IQ195" s="2297"/>
      <c r="IR195" s="2297"/>
      <c r="IS195" s="2297"/>
      <c r="IT195" s="2297"/>
      <c r="IU195" s="2297"/>
      <c r="IV195" s="2297"/>
    </row>
    <row r="196" spans="3:256">
      <c r="C196" s="2298"/>
      <c r="D196" s="2298"/>
      <c r="E196" s="2298"/>
      <c r="F196" s="2298"/>
      <c r="G196" s="2298"/>
      <c r="H196" s="2298"/>
      <c r="AC196" s="2297"/>
      <c r="AD196" s="2297"/>
      <c r="AE196" s="2297"/>
      <c r="AF196" s="2297"/>
      <c r="AG196" s="2297"/>
      <c r="AH196" s="2297"/>
      <c r="AI196" s="2297"/>
      <c r="AJ196" s="2297"/>
      <c r="AK196" s="2297"/>
      <c r="AL196" s="2297"/>
      <c r="AM196" s="2297"/>
      <c r="AN196" s="2297"/>
      <c r="AO196" s="2297"/>
      <c r="AP196" s="2297"/>
      <c r="AQ196" s="2297"/>
      <c r="AR196" s="2297"/>
      <c r="AS196" s="2297"/>
      <c r="AT196" s="2297"/>
      <c r="AU196" s="2297"/>
      <c r="AV196" s="2297"/>
      <c r="AW196" s="2297"/>
      <c r="AX196" s="2297"/>
      <c r="AY196" s="2297"/>
      <c r="AZ196" s="2297"/>
      <c r="BA196" s="2297"/>
      <c r="BB196" s="2297"/>
      <c r="BC196" s="2297"/>
      <c r="BD196" s="2297"/>
      <c r="BE196" s="2297"/>
      <c r="BF196" s="2297"/>
      <c r="BG196" s="2297"/>
      <c r="BH196" s="2297"/>
      <c r="BI196" s="2297"/>
      <c r="BJ196" s="2297"/>
      <c r="BK196" s="2297"/>
      <c r="BL196" s="2297"/>
      <c r="BM196" s="2297"/>
      <c r="BN196" s="2297"/>
      <c r="BO196" s="2297"/>
      <c r="BP196" s="2297"/>
      <c r="BQ196" s="2297"/>
      <c r="BR196" s="2297"/>
      <c r="BS196" s="2297"/>
      <c r="BT196" s="2297"/>
      <c r="BU196" s="2297"/>
      <c r="BV196" s="2297"/>
      <c r="BW196" s="2297"/>
      <c r="BX196" s="2297"/>
      <c r="BY196" s="2297"/>
      <c r="BZ196" s="2297"/>
      <c r="CA196" s="2297"/>
      <c r="CB196" s="2297"/>
      <c r="CC196" s="2297"/>
      <c r="CD196" s="2297"/>
      <c r="CE196" s="2297"/>
      <c r="CF196" s="2297"/>
      <c r="CG196" s="2297"/>
      <c r="CH196" s="2297"/>
      <c r="CI196" s="2297"/>
      <c r="CJ196" s="2297"/>
      <c r="CK196" s="2297"/>
      <c r="CL196" s="2297"/>
      <c r="CM196" s="2297"/>
      <c r="CN196" s="2297"/>
      <c r="CO196" s="2297"/>
      <c r="CP196" s="2297"/>
      <c r="CQ196" s="2297"/>
      <c r="CR196" s="2297"/>
      <c r="CS196" s="2297"/>
      <c r="CT196" s="2297"/>
      <c r="CU196" s="2297"/>
      <c r="CV196" s="2297"/>
      <c r="CW196" s="2297"/>
      <c r="CX196" s="2297"/>
      <c r="CY196" s="2297"/>
      <c r="CZ196" s="2297"/>
      <c r="DA196" s="2297"/>
      <c r="DB196" s="2297"/>
      <c r="DC196" s="2297"/>
      <c r="DD196" s="2297"/>
      <c r="DE196" s="2297"/>
      <c r="DF196" s="2297"/>
      <c r="DG196" s="2297"/>
      <c r="DH196" s="2297"/>
      <c r="DI196" s="2297"/>
      <c r="DJ196" s="2297"/>
      <c r="DK196" s="2297"/>
      <c r="DL196" s="2297"/>
      <c r="DM196" s="2297"/>
      <c r="DN196" s="2297"/>
      <c r="DO196" s="2297"/>
      <c r="DP196" s="2297"/>
      <c r="DQ196" s="2297"/>
      <c r="DR196" s="2297"/>
      <c r="DS196" s="2297"/>
      <c r="DT196" s="2297"/>
      <c r="DU196" s="2297"/>
      <c r="DV196" s="2297"/>
      <c r="DW196" s="2297"/>
      <c r="DX196" s="2297"/>
      <c r="DY196" s="2297"/>
      <c r="DZ196" s="2297"/>
      <c r="EA196" s="2297"/>
      <c r="EB196" s="2297"/>
      <c r="EC196" s="2297"/>
      <c r="ED196" s="2297"/>
      <c r="EE196" s="2297"/>
      <c r="EF196" s="2297"/>
      <c r="EG196" s="2297"/>
      <c r="EH196" s="2297"/>
      <c r="EI196" s="2297"/>
      <c r="EJ196" s="2297"/>
      <c r="EK196" s="2297"/>
      <c r="EL196" s="2297"/>
      <c r="EM196" s="2297"/>
      <c r="EN196" s="2297"/>
      <c r="EO196" s="2297"/>
      <c r="EP196" s="2297"/>
      <c r="EQ196" s="2297"/>
      <c r="ER196" s="2297"/>
      <c r="ES196" s="2297"/>
      <c r="ET196" s="2297"/>
      <c r="EU196" s="2297"/>
      <c r="EV196" s="2297"/>
      <c r="EW196" s="2297"/>
      <c r="EX196" s="2297"/>
      <c r="EY196" s="2297"/>
      <c r="EZ196" s="2297"/>
      <c r="FA196" s="2297"/>
      <c r="FB196" s="2297"/>
      <c r="FC196" s="2297"/>
      <c r="FD196" s="2297"/>
      <c r="FE196" s="2297"/>
      <c r="FF196" s="2297"/>
      <c r="FG196" s="2297"/>
      <c r="FH196" s="2297"/>
      <c r="FI196" s="2297"/>
      <c r="FJ196" s="2297"/>
      <c r="FK196" s="2297"/>
      <c r="FL196" s="2297"/>
      <c r="FM196" s="2297"/>
      <c r="FN196" s="2297"/>
      <c r="FO196" s="2297"/>
      <c r="FP196" s="2297"/>
      <c r="FQ196" s="2297"/>
      <c r="FR196" s="2297"/>
      <c r="FS196" s="2297"/>
      <c r="FT196" s="2297"/>
      <c r="FU196" s="2297"/>
      <c r="FV196" s="2297"/>
      <c r="FW196" s="2297"/>
      <c r="FX196" s="2297"/>
      <c r="FY196" s="2297"/>
      <c r="FZ196" s="2297"/>
      <c r="GA196" s="2297"/>
      <c r="GB196" s="2297"/>
      <c r="GC196" s="2297"/>
      <c r="GD196" s="2297"/>
      <c r="GE196" s="2297"/>
      <c r="GF196" s="2297"/>
      <c r="GG196" s="2297"/>
      <c r="GH196" s="2297"/>
      <c r="GI196" s="2297"/>
      <c r="GJ196" s="2297"/>
      <c r="GK196" s="2297"/>
      <c r="GL196" s="2297"/>
      <c r="GM196" s="2297"/>
      <c r="GN196" s="2297"/>
      <c r="GO196" s="2297"/>
      <c r="GP196" s="2297"/>
      <c r="GQ196" s="2297"/>
      <c r="GR196" s="2297"/>
      <c r="GS196" s="2297"/>
      <c r="GT196" s="2297"/>
      <c r="GU196" s="2297"/>
      <c r="GV196" s="2297"/>
      <c r="GW196" s="2297"/>
      <c r="GX196" s="2297"/>
      <c r="GY196" s="2297"/>
      <c r="GZ196" s="2297"/>
      <c r="HA196" s="2297"/>
      <c r="HB196" s="2297"/>
      <c r="HC196" s="2297"/>
      <c r="HD196" s="2297"/>
      <c r="HE196" s="2297"/>
      <c r="HF196" s="2297"/>
      <c r="HG196" s="2297"/>
      <c r="HH196" s="2297"/>
      <c r="HI196" s="2297"/>
      <c r="HJ196" s="2297"/>
      <c r="HK196" s="2297"/>
      <c r="HL196" s="2297"/>
      <c r="HM196" s="2297"/>
      <c r="HN196" s="2297"/>
      <c r="HO196" s="2297"/>
      <c r="HP196" s="2297"/>
      <c r="HQ196" s="2297"/>
      <c r="HR196" s="2297"/>
      <c r="HS196" s="2297"/>
      <c r="HT196" s="2297"/>
      <c r="HU196" s="2297"/>
      <c r="HV196" s="2297"/>
      <c r="HW196" s="2297"/>
      <c r="HX196" s="2297"/>
      <c r="HY196" s="2297"/>
      <c r="HZ196" s="2297"/>
      <c r="IA196" s="2297"/>
      <c r="IB196" s="2297"/>
      <c r="IC196" s="2297"/>
      <c r="ID196" s="2297"/>
      <c r="IE196" s="2297"/>
      <c r="IF196" s="2297"/>
      <c r="IG196" s="2297"/>
      <c r="IH196" s="2297"/>
      <c r="II196" s="2297"/>
      <c r="IJ196" s="2297"/>
      <c r="IK196" s="2297"/>
      <c r="IL196" s="2297"/>
      <c r="IM196" s="2297"/>
      <c r="IN196" s="2297"/>
      <c r="IO196" s="2297"/>
      <c r="IP196" s="2297"/>
      <c r="IQ196" s="2297"/>
      <c r="IR196" s="2297"/>
      <c r="IS196" s="2297"/>
      <c r="IT196" s="2297"/>
      <c r="IU196" s="2297"/>
      <c r="IV196" s="2297"/>
    </row>
    <row r="197" spans="3:256">
      <c r="C197" s="2298"/>
      <c r="D197" s="2298"/>
      <c r="E197" s="2298"/>
      <c r="F197" s="2298"/>
      <c r="G197" s="2298"/>
      <c r="H197" s="2298"/>
      <c r="AC197" s="2297"/>
      <c r="AD197" s="2297"/>
      <c r="AE197" s="2297"/>
      <c r="AF197" s="2297"/>
      <c r="AG197" s="2297"/>
      <c r="AH197" s="2297"/>
      <c r="AI197" s="2297"/>
      <c r="AJ197" s="2297"/>
      <c r="AK197" s="2297"/>
      <c r="AL197" s="2297"/>
      <c r="AM197" s="2297"/>
      <c r="AN197" s="2297"/>
      <c r="AO197" s="2297"/>
      <c r="AP197" s="2297"/>
      <c r="AQ197" s="2297"/>
      <c r="AR197" s="2297"/>
      <c r="AS197" s="2297"/>
      <c r="AT197" s="2297"/>
      <c r="AU197" s="2297"/>
      <c r="AV197" s="2297"/>
      <c r="AW197" s="2297"/>
      <c r="AX197" s="2297"/>
      <c r="AY197" s="2297"/>
      <c r="AZ197" s="2297"/>
      <c r="BA197" s="2297"/>
      <c r="BB197" s="2297"/>
      <c r="BC197" s="2297"/>
      <c r="BD197" s="2297"/>
      <c r="BE197" s="2297"/>
      <c r="BF197" s="2297"/>
      <c r="BG197" s="2297"/>
      <c r="BH197" s="2297"/>
      <c r="BI197" s="2297"/>
      <c r="BJ197" s="2297"/>
      <c r="BK197" s="2297"/>
      <c r="BL197" s="2297"/>
      <c r="BM197" s="2297"/>
      <c r="BN197" s="2297"/>
      <c r="BO197" s="2297"/>
      <c r="BP197" s="2297"/>
      <c r="BQ197" s="2297"/>
      <c r="BR197" s="2297"/>
      <c r="BS197" s="2297"/>
      <c r="BT197" s="2297"/>
      <c r="BU197" s="2297"/>
      <c r="BV197" s="2297"/>
      <c r="BW197" s="2297"/>
      <c r="BX197" s="2297"/>
      <c r="BY197" s="2297"/>
      <c r="BZ197" s="2297"/>
      <c r="CA197" s="2297"/>
      <c r="CB197" s="2297"/>
      <c r="CC197" s="2297"/>
      <c r="CD197" s="2297"/>
      <c r="CE197" s="2297"/>
      <c r="CF197" s="2297"/>
      <c r="CG197" s="2297"/>
      <c r="CH197" s="2297"/>
      <c r="CI197" s="2297"/>
      <c r="CJ197" s="2297"/>
      <c r="CK197" s="2297"/>
      <c r="CL197" s="2297"/>
      <c r="CM197" s="2297"/>
      <c r="CN197" s="2297"/>
      <c r="CO197" s="2297"/>
      <c r="CP197" s="2297"/>
      <c r="CQ197" s="2297"/>
      <c r="CR197" s="2297"/>
      <c r="CS197" s="2297"/>
      <c r="CT197" s="2297"/>
      <c r="CU197" s="2297"/>
      <c r="CV197" s="2297"/>
      <c r="CW197" s="2297"/>
      <c r="CX197" s="2297"/>
      <c r="CY197" s="2297"/>
      <c r="CZ197" s="2297"/>
      <c r="DA197" s="2297"/>
      <c r="DB197" s="2297"/>
      <c r="DC197" s="2297"/>
      <c r="DD197" s="2297"/>
      <c r="DE197" s="2297"/>
      <c r="DF197" s="2297"/>
      <c r="DG197" s="2297"/>
      <c r="DH197" s="2297"/>
      <c r="DI197" s="2297"/>
      <c r="DJ197" s="2297"/>
      <c r="DK197" s="2297"/>
      <c r="DL197" s="2297"/>
      <c r="DM197" s="2297"/>
      <c r="DN197" s="2297"/>
      <c r="DO197" s="2297"/>
      <c r="DP197" s="2297"/>
      <c r="DQ197" s="2297"/>
      <c r="DR197" s="2297"/>
      <c r="DS197" s="2297"/>
      <c r="DT197" s="2297"/>
      <c r="DU197" s="2297"/>
      <c r="DV197" s="2297"/>
      <c r="DW197" s="2297"/>
      <c r="DX197" s="2297"/>
      <c r="DY197" s="2297"/>
      <c r="DZ197" s="2297"/>
      <c r="EA197" s="2297"/>
      <c r="EB197" s="2297"/>
      <c r="EC197" s="2297"/>
      <c r="ED197" s="2297"/>
      <c r="EE197" s="2297"/>
      <c r="EF197" s="2297"/>
      <c r="EG197" s="2297"/>
      <c r="EH197" s="2297"/>
      <c r="EI197" s="2297"/>
      <c r="EJ197" s="2297"/>
      <c r="EK197" s="2297"/>
      <c r="EL197" s="2297"/>
      <c r="EM197" s="2297"/>
      <c r="EN197" s="2297"/>
      <c r="EO197" s="2297"/>
      <c r="EP197" s="2297"/>
      <c r="EQ197" s="2297"/>
      <c r="ER197" s="2297"/>
      <c r="ES197" s="2297"/>
      <c r="ET197" s="2297"/>
      <c r="EU197" s="2297"/>
      <c r="EV197" s="2297"/>
      <c r="EW197" s="2297"/>
      <c r="EX197" s="2297"/>
      <c r="EY197" s="2297"/>
      <c r="EZ197" s="2297"/>
      <c r="FA197" s="2297"/>
      <c r="FB197" s="2297"/>
      <c r="FC197" s="2297"/>
      <c r="FD197" s="2297"/>
      <c r="FE197" s="2297"/>
      <c r="FF197" s="2297"/>
      <c r="FG197" s="2297"/>
      <c r="FH197" s="2297"/>
      <c r="FI197" s="2297"/>
      <c r="FJ197" s="2297"/>
      <c r="FK197" s="2297"/>
      <c r="FL197" s="2297"/>
      <c r="FM197" s="2297"/>
      <c r="FN197" s="2297"/>
      <c r="FO197" s="2297"/>
      <c r="FP197" s="2297"/>
      <c r="FQ197" s="2297"/>
      <c r="FR197" s="2297"/>
      <c r="FS197" s="2297"/>
      <c r="FT197" s="2297"/>
      <c r="FU197" s="2297"/>
      <c r="FV197" s="2297"/>
      <c r="FW197" s="2297"/>
      <c r="FX197" s="2297"/>
      <c r="FY197" s="2297"/>
      <c r="FZ197" s="2297"/>
      <c r="GA197" s="2297"/>
      <c r="GB197" s="2297"/>
      <c r="GC197" s="2297"/>
      <c r="GD197" s="2297"/>
      <c r="GE197" s="2297"/>
      <c r="GF197" s="2297"/>
      <c r="GG197" s="2297"/>
      <c r="GH197" s="2297"/>
      <c r="GI197" s="2297"/>
      <c r="GJ197" s="2297"/>
      <c r="GK197" s="2297"/>
      <c r="GL197" s="2297"/>
      <c r="GM197" s="2297"/>
      <c r="GN197" s="2297"/>
      <c r="GO197" s="2297"/>
      <c r="GP197" s="2297"/>
      <c r="GQ197" s="2297"/>
      <c r="GR197" s="2297"/>
      <c r="GS197" s="2297"/>
      <c r="GT197" s="2297"/>
      <c r="GU197" s="2297"/>
      <c r="GV197" s="2297"/>
      <c r="GW197" s="2297"/>
      <c r="GX197" s="2297"/>
      <c r="GY197" s="2297"/>
      <c r="GZ197" s="2297"/>
      <c r="HA197" s="2297"/>
      <c r="HB197" s="2297"/>
      <c r="HC197" s="2297"/>
      <c r="HD197" s="2297"/>
      <c r="HE197" s="2297"/>
      <c r="HF197" s="2297"/>
      <c r="HG197" s="2297"/>
      <c r="HH197" s="2297"/>
      <c r="HI197" s="2297"/>
      <c r="HJ197" s="2297"/>
      <c r="HK197" s="2297"/>
      <c r="HL197" s="2297"/>
      <c r="HM197" s="2297"/>
      <c r="HN197" s="2297"/>
      <c r="HO197" s="2297"/>
      <c r="HP197" s="2297"/>
      <c r="HQ197" s="2297"/>
      <c r="HR197" s="2297"/>
      <c r="HS197" s="2297"/>
      <c r="HT197" s="2297"/>
      <c r="HU197" s="2297"/>
      <c r="HV197" s="2297"/>
      <c r="HW197" s="2297"/>
      <c r="HX197" s="2297"/>
      <c r="HY197" s="2297"/>
      <c r="HZ197" s="2297"/>
      <c r="IA197" s="2297"/>
      <c r="IB197" s="2297"/>
      <c r="IC197" s="2297"/>
      <c r="ID197" s="2297"/>
      <c r="IE197" s="2297"/>
      <c r="IF197" s="2297"/>
      <c r="IG197" s="2297"/>
      <c r="IH197" s="2297"/>
      <c r="II197" s="2297"/>
      <c r="IJ197" s="2297"/>
      <c r="IK197" s="2297"/>
      <c r="IL197" s="2297"/>
      <c r="IM197" s="2297"/>
      <c r="IN197" s="2297"/>
      <c r="IO197" s="2297"/>
      <c r="IP197" s="2297"/>
      <c r="IQ197" s="2297"/>
      <c r="IR197" s="2297"/>
      <c r="IS197" s="2297"/>
      <c r="IT197" s="2297"/>
      <c r="IU197" s="2297"/>
      <c r="IV197" s="2297"/>
    </row>
    <row r="198" spans="3:256">
      <c r="C198" s="2298"/>
      <c r="D198" s="2298"/>
      <c r="E198" s="2298"/>
      <c r="F198" s="2298"/>
      <c r="G198" s="2298"/>
      <c r="H198" s="2298"/>
      <c r="AC198" s="2297"/>
      <c r="AD198" s="2297"/>
      <c r="AE198" s="2297"/>
      <c r="AF198" s="2297"/>
      <c r="AG198" s="2297"/>
      <c r="AH198" s="2297"/>
      <c r="AI198" s="2297"/>
      <c r="AJ198" s="2297"/>
      <c r="AK198" s="2297"/>
      <c r="AL198" s="2297"/>
      <c r="AM198" s="2297"/>
      <c r="AN198" s="2297"/>
      <c r="AO198" s="2297"/>
      <c r="AP198" s="2297"/>
      <c r="AQ198" s="2297"/>
      <c r="AR198" s="2297"/>
      <c r="AS198" s="2297"/>
      <c r="AT198" s="2297"/>
      <c r="AU198" s="2297"/>
      <c r="AV198" s="2297"/>
      <c r="AW198" s="2297"/>
      <c r="AX198" s="2297"/>
      <c r="AY198" s="2297"/>
      <c r="AZ198" s="2297"/>
      <c r="BA198" s="2297"/>
      <c r="BB198" s="2297"/>
      <c r="BC198" s="2297"/>
      <c r="BD198" s="2297"/>
      <c r="BE198" s="2297"/>
      <c r="BF198" s="2297"/>
      <c r="BG198" s="2297"/>
      <c r="BH198" s="2297"/>
      <c r="BI198" s="2297"/>
      <c r="BJ198" s="2297"/>
      <c r="BK198" s="2297"/>
      <c r="BL198" s="2297"/>
      <c r="BM198" s="2297"/>
      <c r="BN198" s="2297"/>
      <c r="BO198" s="2297"/>
      <c r="BP198" s="2297"/>
      <c r="BQ198" s="2297"/>
      <c r="BR198" s="2297"/>
      <c r="BS198" s="2297"/>
      <c r="BT198" s="2297"/>
      <c r="BU198" s="2297"/>
      <c r="BV198" s="2297"/>
      <c r="BW198" s="2297"/>
      <c r="BX198" s="2297"/>
      <c r="BY198" s="2297"/>
      <c r="BZ198" s="2297"/>
      <c r="CA198" s="2297"/>
      <c r="CB198" s="2297"/>
      <c r="CC198" s="2297"/>
      <c r="CD198" s="2297"/>
      <c r="CE198" s="2297"/>
      <c r="CF198" s="2297"/>
      <c r="CG198" s="2297"/>
      <c r="CH198" s="2297"/>
      <c r="CI198" s="2297"/>
      <c r="CJ198" s="2297"/>
      <c r="CK198" s="2297"/>
      <c r="CL198" s="2297"/>
      <c r="CM198" s="2297"/>
      <c r="CN198" s="2297"/>
      <c r="CO198" s="2297"/>
      <c r="CP198" s="2297"/>
      <c r="CQ198" s="2297"/>
      <c r="CR198" s="2297"/>
      <c r="CS198" s="2297"/>
      <c r="CT198" s="2297"/>
      <c r="CU198" s="2297"/>
      <c r="CV198" s="2297"/>
      <c r="CW198" s="2297"/>
      <c r="CX198" s="2297"/>
      <c r="CY198" s="2297"/>
      <c r="CZ198" s="2297"/>
      <c r="DA198" s="2297"/>
      <c r="DB198" s="2297"/>
      <c r="DC198" s="2297"/>
      <c r="DD198" s="2297"/>
      <c r="DE198" s="2297"/>
      <c r="DF198" s="2297"/>
      <c r="DG198" s="2297"/>
      <c r="DH198" s="2297"/>
      <c r="DI198" s="2297"/>
      <c r="DJ198" s="2297"/>
      <c r="DK198" s="2297"/>
      <c r="DL198" s="2297"/>
      <c r="DM198" s="2297"/>
      <c r="DN198" s="2297"/>
      <c r="DO198" s="2297"/>
      <c r="DP198" s="2297"/>
      <c r="DQ198" s="2297"/>
      <c r="DR198" s="2297"/>
      <c r="DS198" s="2297"/>
      <c r="DT198" s="2297"/>
      <c r="DU198" s="2297"/>
      <c r="DV198" s="2297"/>
      <c r="DW198" s="2297"/>
      <c r="DX198" s="2297"/>
      <c r="DY198" s="2297"/>
      <c r="DZ198" s="2297"/>
      <c r="EA198" s="2297"/>
      <c r="EB198" s="2297"/>
      <c r="EC198" s="2297"/>
      <c r="ED198" s="2297"/>
      <c r="EE198" s="2297"/>
      <c r="EF198" s="2297"/>
      <c r="EG198" s="2297"/>
      <c r="EH198" s="2297"/>
      <c r="EI198" s="2297"/>
      <c r="EJ198" s="2297"/>
      <c r="EK198" s="2297"/>
      <c r="EL198" s="2297"/>
      <c r="EM198" s="2297"/>
      <c r="EN198" s="2297"/>
      <c r="EO198" s="2297"/>
      <c r="EP198" s="2297"/>
      <c r="EQ198" s="2297"/>
      <c r="ER198" s="2297"/>
      <c r="ES198" s="2297"/>
      <c r="ET198" s="2297"/>
      <c r="EU198" s="2297"/>
      <c r="EV198" s="2297"/>
      <c r="EW198" s="2297"/>
      <c r="EX198" s="2297"/>
      <c r="EY198" s="2297"/>
      <c r="EZ198" s="2297"/>
      <c r="FA198" s="2297"/>
      <c r="FB198" s="2297"/>
      <c r="FC198" s="2297"/>
      <c r="FD198" s="2297"/>
      <c r="FE198" s="2297"/>
      <c r="FF198" s="2297"/>
      <c r="FG198" s="2297"/>
      <c r="FH198" s="2297"/>
      <c r="FI198" s="2297"/>
      <c r="FJ198" s="2297"/>
      <c r="FK198" s="2297"/>
      <c r="FL198" s="2297"/>
      <c r="FM198" s="2297"/>
      <c r="FN198" s="2297"/>
      <c r="FO198" s="2297"/>
      <c r="FP198" s="2297"/>
      <c r="FQ198" s="2297"/>
      <c r="FR198" s="2297"/>
      <c r="FS198" s="2297"/>
      <c r="FT198" s="2297"/>
      <c r="FU198" s="2297"/>
      <c r="FV198" s="2297"/>
      <c r="FW198" s="2297"/>
      <c r="FX198" s="2297"/>
      <c r="FY198" s="2297"/>
      <c r="FZ198" s="2297"/>
      <c r="GA198" s="2297"/>
      <c r="GB198" s="2297"/>
      <c r="GC198" s="2297"/>
      <c r="GD198" s="2297"/>
      <c r="GE198" s="2297"/>
      <c r="GF198" s="2297"/>
      <c r="GG198" s="2297"/>
      <c r="GH198" s="2297"/>
      <c r="GI198" s="2297"/>
      <c r="GJ198" s="2297"/>
      <c r="GK198" s="2297"/>
      <c r="GL198" s="2297"/>
      <c r="GM198" s="2297"/>
      <c r="GN198" s="2297"/>
      <c r="GO198" s="2297"/>
      <c r="GP198" s="2297"/>
      <c r="GQ198" s="2297"/>
      <c r="GR198" s="2297"/>
      <c r="GS198" s="2297"/>
      <c r="GT198" s="2297"/>
      <c r="GU198" s="2297"/>
      <c r="GV198" s="2297"/>
      <c r="GW198" s="2297"/>
      <c r="GX198" s="2297"/>
      <c r="GY198" s="2297"/>
      <c r="GZ198" s="2297"/>
      <c r="HA198" s="2297"/>
      <c r="HB198" s="2297"/>
      <c r="HC198" s="2297"/>
      <c r="HD198" s="2297"/>
      <c r="HE198" s="2297"/>
      <c r="HF198" s="2297"/>
      <c r="HG198" s="2297"/>
      <c r="HH198" s="2297"/>
      <c r="HI198" s="2297"/>
      <c r="HJ198" s="2297"/>
      <c r="HK198" s="2297"/>
      <c r="HL198" s="2297"/>
      <c r="HM198" s="2297"/>
      <c r="HN198" s="2297"/>
      <c r="HO198" s="2297"/>
      <c r="HP198" s="2297"/>
      <c r="HQ198" s="2297"/>
      <c r="HR198" s="2297"/>
      <c r="HS198" s="2297"/>
      <c r="HT198" s="2297"/>
      <c r="HU198" s="2297"/>
      <c r="HV198" s="2297"/>
      <c r="HW198" s="2297"/>
      <c r="HX198" s="2297"/>
      <c r="HY198" s="2297"/>
      <c r="HZ198" s="2297"/>
      <c r="IA198" s="2297"/>
      <c r="IB198" s="2297"/>
      <c r="IC198" s="2297"/>
      <c r="ID198" s="2297"/>
      <c r="IE198" s="2297"/>
      <c r="IF198" s="2297"/>
      <c r="IG198" s="2297"/>
      <c r="IH198" s="2297"/>
      <c r="II198" s="2297"/>
      <c r="IJ198" s="2297"/>
      <c r="IK198" s="2297"/>
      <c r="IL198" s="2297"/>
      <c r="IM198" s="2297"/>
      <c r="IN198" s="2297"/>
      <c r="IO198" s="2297"/>
      <c r="IP198" s="2297"/>
      <c r="IQ198" s="2297"/>
      <c r="IR198" s="2297"/>
      <c r="IS198" s="2297"/>
      <c r="IT198" s="2297"/>
      <c r="IU198" s="2297"/>
      <c r="IV198" s="2297"/>
    </row>
    <row r="199" spans="3:256">
      <c r="C199" s="2298"/>
      <c r="D199" s="2298"/>
      <c r="E199" s="2298"/>
      <c r="F199" s="2298"/>
      <c r="G199" s="2298"/>
      <c r="H199" s="2298"/>
      <c r="AC199" s="2297"/>
      <c r="AD199" s="2297"/>
      <c r="AE199" s="2297"/>
      <c r="AF199" s="2297"/>
      <c r="AG199" s="2297"/>
      <c r="AH199" s="2297"/>
      <c r="AI199" s="2297"/>
      <c r="AJ199" s="2297"/>
      <c r="AK199" s="2297"/>
      <c r="AL199" s="2297"/>
      <c r="AM199" s="2297"/>
      <c r="AN199" s="2297"/>
      <c r="AO199" s="2297"/>
      <c r="AP199" s="2297"/>
      <c r="AQ199" s="2297"/>
      <c r="AR199" s="2297"/>
      <c r="AS199" s="2297"/>
      <c r="AT199" s="2297"/>
      <c r="AU199" s="2297"/>
      <c r="AV199" s="2297"/>
      <c r="AW199" s="2297"/>
      <c r="AX199" s="2297"/>
      <c r="AY199" s="2297"/>
      <c r="AZ199" s="2297"/>
      <c r="BA199" s="2297"/>
      <c r="BB199" s="2297"/>
      <c r="BC199" s="2297"/>
      <c r="BD199" s="2297"/>
      <c r="BE199" s="2297"/>
      <c r="BF199" s="2297"/>
      <c r="BG199" s="2297"/>
      <c r="BH199" s="2297"/>
      <c r="BI199" s="2297"/>
      <c r="BJ199" s="2297"/>
      <c r="BK199" s="2297"/>
      <c r="BL199" s="2297"/>
      <c r="BM199" s="2297"/>
      <c r="BN199" s="2297"/>
      <c r="BO199" s="2297"/>
      <c r="BP199" s="2297"/>
      <c r="BQ199" s="2297"/>
      <c r="BR199" s="2297"/>
      <c r="BS199" s="2297"/>
      <c r="BT199" s="2297"/>
      <c r="BU199" s="2297"/>
      <c r="BV199" s="2297"/>
      <c r="BW199" s="2297"/>
      <c r="BX199" s="2297"/>
      <c r="BY199" s="2297"/>
      <c r="BZ199" s="2297"/>
      <c r="CA199" s="2297"/>
      <c r="CB199" s="2297"/>
      <c r="CC199" s="2297"/>
      <c r="CD199" s="2297"/>
      <c r="CE199" s="2297"/>
      <c r="CF199" s="2297"/>
      <c r="CG199" s="2297"/>
      <c r="CH199" s="2297"/>
      <c r="CI199" s="2297"/>
      <c r="CJ199" s="2297"/>
      <c r="CK199" s="2297"/>
      <c r="CL199" s="2297"/>
      <c r="CM199" s="2297"/>
      <c r="CN199" s="2297"/>
      <c r="CO199" s="2297"/>
      <c r="CP199" s="2297"/>
      <c r="CQ199" s="2297"/>
      <c r="CR199" s="2297"/>
      <c r="CS199" s="2297"/>
      <c r="CT199" s="2297"/>
      <c r="CU199" s="2297"/>
      <c r="CV199" s="2297"/>
      <c r="CW199" s="2297"/>
      <c r="CX199" s="2297"/>
      <c r="CY199" s="2297"/>
      <c r="CZ199" s="2297"/>
      <c r="DA199" s="2297"/>
      <c r="DB199" s="2297"/>
      <c r="DC199" s="2297"/>
      <c r="DD199" s="2297"/>
      <c r="DE199" s="2297"/>
      <c r="DF199" s="2297"/>
      <c r="DG199" s="2297"/>
      <c r="DH199" s="2297"/>
      <c r="DI199" s="2297"/>
      <c r="DJ199" s="2297"/>
      <c r="DK199" s="2297"/>
      <c r="DL199" s="2297"/>
      <c r="DM199" s="2297"/>
      <c r="DN199" s="2297"/>
      <c r="DO199" s="2297"/>
      <c r="DP199" s="2297"/>
      <c r="DQ199" s="2297"/>
      <c r="DR199" s="2297"/>
      <c r="DS199" s="2297"/>
      <c r="DT199" s="2297"/>
      <c r="DU199" s="2297"/>
      <c r="DV199" s="2297"/>
      <c r="DW199" s="2297"/>
      <c r="DX199" s="2297"/>
      <c r="DY199" s="2297"/>
      <c r="DZ199" s="2297"/>
      <c r="EA199" s="2297"/>
      <c r="EB199" s="2297"/>
      <c r="EC199" s="2297"/>
      <c r="ED199" s="2297"/>
      <c r="EE199" s="2297"/>
      <c r="EF199" s="2297"/>
      <c r="EG199" s="2297"/>
      <c r="EH199" s="2297"/>
      <c r="EI199" s="2297"/>
      <c r="EJ199" s="2297"/>
      <c r="EK199" s="2297"/>
      <c r="EL199" s="2297"/>
      <c r="EM199" s="2297"/>
      <c r="EN199" s="2297"/>
      <c r="EO199" s="2297"/>
      <c r="EP199" s="2297"/>
      <c r="EQ199" s="2297"/>
      <c r="ER199" s="2297"/>
      <c r="ES199" s="2297"/>
      <c r="ET199" s="2297"/>
      <c r="EU199" s="2297"/>
      <c r="EV199" s="2297"/>
      <c r="EW199" s="2297"/>
      <c r="EX199" s="2297"/>
      <c r="EY199" s="2297"/>
      <c r="EZ199" s="2297"/>
      <c r="FA199" s="2297"/>
      <c r="FB199" s="2297"/>
      <c r="FC199" s="2297"/>
      <c r="FD199" s="2297"/>
      <c r="FE199" s="2297"/>
      <c r="FF199" s="2297"/>
      <c r="FG199" s="2297"/>
      <c r="FH199" s="2297"/>
      <c r="FI199" s="2297"/>
      <c r="FJ199" s="2297"/>
      <c r="FK199" s="2297"/>
      <c r="FL199" s="2297"/>
      <c r="FM199" s="2297"/>
      <c r="FN199" s="2297"/>
      <c r="FO199" s="2297"/>
      <c r="FP199" s="2297"/>
      <c r="FQ199" s="2297"/>
      <c r="FR199" s="2297"/>
      <c r="FS199" s="2297"/>
      <c r="FT199" s="2297"/>
      <c r="FU199" s="2297"/>
      <c r="FV199" s="2297"/>
      <c r="FW199" s="2297"/>
      <c r="FX199" s="2297"/>
      <c r="FY199" s="2297"/>
      <c r="FZ199" s="2297"/>
      <c r="GA199" s="2297"/>
      <c r="GB199" s="2297"/>
      <c r="GC199" s="2297"/>
      <c r="GD199" s="2297"/>
      <c r="GE199" s="2297"/>
      <c r="GF199" s="2297"/>
      <c r="GG199" s="2297"/>
      <c r="GH199" s="2297"/>
      <c r="GI199" s="2297"/>
      <c r="GJ199" s="2297"/>
      <c r="GK199" s="2297"/>
      <c r="GL199" s="2297"/>
      <c r="GM199" s="2297"/>
      <c r="GN199" s="2297"/>
      <c r="GO199" s="2297"/>
      <c r="GP199" s="2297"/>
      <c r="GQ199" s="2297"/>
      <c r="GR199" s="2297"/>
      <c r="GS199" s="2297"/>
      <c r="GT199" s="2297"/>
      <c r="GU199" s="2297"/>
      <c r="GV199" s="2297"/>
      <c r="GW199" s="2297"/>
      <c r="GX199" s="2297"/>
      <c r="GY199" s="2297"/>
      <c r="GZ199" s="2297"/>
      <c r="HA199" s="2297"/>
      <c r="HB199" s="2297"/>
      <c r="HC199" s="2297"/>
      <c r="HD199" s="2297"/>
      <c r="HE199" s="2297"/>
      <c r="HF199" s="2297"/>
      <c r="HG199" s="2297"/>
      <c r="HH199" s="2297"/>
      <c r="HI199" s="2297"/>
      <c r="HJ199" s="2297"/>
      <c r="HK199" s="2297"/>
      <c r="HL199" s="2297"/>
      <c r="HM199" s="2297"/>
      <c r="HN199" s="2297"/>
      <c r="HO199" s="2297"/>
      <c r="HP199" s="2297"/>
      <c r="HQ199" s="2297"/>
      <c r="HR199" s="2297"/>
      <c r="HS199" s="2297"/>
      <c r="HT199" s="2297"/>
      <c r="HU199" s="2297"/>
      <c r="HV199" s="2297"/>
      <c r="HW199" s="2297"/>
      <c r="HX199" s="2297"/>
      <c r="HY199" s="2297"/>
      <c r="HZ199" s="2297"/>
      <c r="IA199" s="2297"/>
      <c r="IB199" s="2297"/>
      <c r="IC199" s="2297"/>
      <c r="ID199" s="2297"/>
      <c r="IE199" s="2297"/>
      <c r="IF199" s="2297"/>
      <c r="IG199" s="2297"/>
      <c r="IH199" s="2297"/>
      <c r="II199" s="2297"/>
      <c r="IJ199" s="2297"/>
      <c r="IK199" s="2297"/>
      <c r="IL199" s="2297"/>
      <c r="IM199" s="2297"/>
      <c r="IN199" s="2297"/>
      <c r="IO199" s="2297"/>
      <c r="IP199" s="2297"/>
      <c r="IQ199" s="2297"/>
      <c r="IR199" s="2297"/>
      <c r="IS199" s="2297"/>
      <c r="IT199" s="2297"/>
      <c r="IU199" s="2297"/>
      <c r="IV199" s="2297"/>
    </row>
    <row r="200" spans="3:256">
      <c r="C200" s="2298"/>
      <c r="D200" s="2298"/>
      <c r="E200" s="2298"/>
      <c r="F200" s="2298"/>
      <c r="G200" s="2298"/>
      <c r="H200" s="2298"/>
      <c r="AC200" s="2297"/>
      <c r="AD200" s="2297"/>
      <c r="AE200" s="2297"/>
      <c r="AF200" s="2297"/>
      <c r="AG200" s="2297"/>
      <c r="AH200" s="2297"/>
      <c r="AI200" s="2297"/>
      <c r="AJ200" s="2297"/>
      <c r="AK200" s="2297"/>
      <c r="AL200" s="2297"/>
      <c r="AM200" s="2297"/>
      <c r="AN200" s="2297"/>
      <c r="AO200" s="2297"/>
      <c r="AP200" s="2297"/>
      <c r="AQ200" s="2297"/>
      <c r="AR200" s="2297"/>
      <c r="AS200" s="2297"/>
      <c r="AT200" s="2297"/>
      <c r="AU200" s="2297"/>
      <c r="AV200" s="2297"/>
      <c r="AW200" s="2297"/>
      <c r="AX200" s="2297"/>
      <c r="AY200" s="2297"/>
      <c r="AZ200" s="2297"/>
      <c r="BA200" s="2297"/>
      <c r="BB200" s="2297"/>
      <c r="BC200" s="2297"/>
      <c r="BD200" s="2297"/>
      <c r="BE200" s="2297"/>
      <c r="BF200" s="2297"/>
      <c r="BG200" s="2297"/>
      <c r="BH200" s="2297"/>
      <c r="BI200" s="2297"/>
      <c r="BJ200" s="2297"/>
      <c r="BK200" s="2297"/>
      <c r="BL200" s="2297"/>
      <c r="BM200" s="2297"/>
      <c r="BN200" s="2297"/>
      <c r="BO200" s="2297"/>
      <c r="BP200" s="2297"/>
      <c r="BQ200" s="2297"/>
      <c r="BR200" s="2297"/>
      <c r="BS200" s="2297"/>
      <c r="BT200" s="2297"/>
      <c r="BU200" s="2297"/>
      <c r="BV200" s="2297"/>
      <c r="BW200" s="2297"/>
      <c r="BX200" s="2297"/>
      <c r="BY200" s="2297"/>
      <c r="BZ200" s="2297"/>
      <c r="CA200" s="2297"/>
      <c r="CB200" s="2297"/>
      <c r="CC200" s="2297"/>
      <c r="CD200" s="2297"/>
      <c r="CE200" s="2297"/>
      <c r="CF200" s="2297"/>
      <c r="CG200" s="2297"/>
      <c r="CH200" s="2297"/>
      <c r="CI200" s="2297"/>
      <c r="CJ200" s="2297"/>
      <c r="CK200" s="2297"/>
      <c r="CL200" s="2297"/>
      <c r="CM200" s="2297"/>
      <c r="CN200" s="2297"/>
      <c r="CO200" s="2297"/>
      <c r="CP200" s="2297"/>
      <c r="CQ200" s="2297"/>
      <c r="CR200" s="2297"/>
      <c r="CS200" s="2297"/>
      <c r="CT200" s="2297"/>
      <c r="CU200" s="2297"/>
      <c r="CV200" s="2297"/>
      <c r="CW200" s="2297"/>
      <c r="CX200" s="2297"/>
      <c r="CY200" s="2297"/>
      <c r="CZ200" s="2297"/>
      <c r="DA200" s="2297"/>
      <c r="DB200" s="2297"/>
      <c r="DC200" s="2297"/>
      <c r="DD200" s="2297"/>
      <c r="DE200" s="2297"/>
      <c r="DF200" s="2297"/>
      <c r="DG200" s="2297"/>
      <c r="DH200" s="2297"/>
      <c r="DI200" s="2297"/>
      <c r="DJ200" s="2297"/>
      <c r="DK200" s="2297"/>
      <c r="DL200" s="2297"/>
      <c r="DM200" s="2297"/>
      <c r="DN200" s="2297"/>
      <c r="DO200" s="2297"/>
      <c r="DP200" s="2297"/>
      <c r="DQ200" s="2297"/>
      <c r="DR200" s="2297"/>
      <c r="DS200" s="2297"/>
      <c r="DT200" s="2297"/>
      <c r="DU200" s="2297"/>
      <c r="DV200" s="2297"/>
      <c r="DW200" s="2297"/>
      <c r="DX200" s="2297"/>
      <c r="DY200" s="2297"/>
      <c r="DZ200" s="2297"/>
      <c r="EA200" s="2297"/>
      <c r="EB200" s="2297"/>
      <c r="EC200" s="2297"/>
      <c r="ED200" s="2297"/>
      <c r="EE200" s="2297"/>
      <c r="EF200" s="2297"/>
      <c r="EG200" s="2297"/>
      <c r="EH200" s="2297"/>
      <c r="EI200" s="2297"/>
      <c r="EJ200" s="2297"/>
      <c r="EK200" s="2297"/>
      <c r="EL200" s="2297"/>
      <c r="EM200" s="2297"/>
      <c r="EN200" s="2297"/>
      <c r="EO200" s="2297"/>
      <c r="EP200" s="2297"/>
      <c r="EQ200" s="2297"/>
      <c r="ER200" s="2297"/>
      <c r="ES200" s="2297"/>
      <c r="ET200" s="2297"/>
      <c r="EU200" s="2297"/>
      <c r="EV200" s="2297"/>
      <c r="EW200" s="2297"/>
      <c r="EX200" s="2297"/>
      <c r="EY200" s="2297"/>
      <c r="EZ200" s="2297"/>
      <c r="FA200" s="2297"/>
      <c r="FB200" s="2297"/>
      <c r="FC200" s="2297"/>
      <c r="FD200" s="2297"/>
      <c r="FE200" s="2297"/>
      <c r="FF200" s="2297"/>
      <c r="FG200" s="2297"/>
      <c r="FH200" s="2297"/>
      <c r="FI200" s="2297"/>
      <c r="FJ200" s="2297"/>
      <c r="FK200" s="2297"/>
      <c r="FL200" s="2297"/>
      <c r="FM200" s="2297"/>
      <c r="FN200" s="2297"/>
      <c r="FO200" s="2297"/>
      <c r="FP200" s="2297"/>
      <c r="FQ200" s="2297"/>
      <c r="FR200" s="2297"/>
      <c r="FS200" s="2297"/>
      <c r="FT200" s="2297"/>
      <c r="FU200" s="2297"/>
      <c r="FV200" s="2297"/>
      <c r="FW200" s="2297"/>
      <c r="FX200" s="2297"/>
      <c r="FY200" s="2297"/>
      <c r="FZ200" s="2297"/>
      <c r="GA200" s="2297"/>
      <c r="GB200" s="2297"/>
      <c r="GC200" s="2297"/>
      <c r="GD200" s="2297"/>
      <c r="GE200" s="2297"/>
      <c r="GF200" s="2297"/>
      <c r="GG200" s="2297"/>
      <c r="GH200" s="2297"/>
      <c r="GI200" s="2297"/>
      <c r="GJ200" s="2297"/>
      <c r="GK200" s="2297"/>
      <c r="GL200" s="2297"/>
      <c r="GM200" s="2297"/>
      <c r="GN200" s="2297"/>
      <c r="GO200" s="2297"/>
      <c r="GP200" s="2297"/>
      <c r="GQ200" s="2297"/>
      <c r="GR200" s="2297"/>
      <c r="GS200" s="2297"/>
      <c r="GT200" s="2297"/>
      <c r="GU200" s="2297"/>
      <c r="GV200" s="2297"/>
      <c r="GW200" s="2297"/>
      <c r="GX200" s="2297"/>
      <c r="GY200" s="2297"/>
      <c r="GZ200" s="2297"/>
      <c r="HA200" s="2297"/>
      <c r="HB200" s="2297"/>
      <c r="HC200" s="2297"/>
      <c r="HD200" s="2297"/>
      <c r="HE200" s="2297"/>
      <c r="HF200" s="2297"/>
      <c r="HG200" s="2297"/>
      <c r="HH200" s="2297"/>
      <c r="HI200" s="2297"/>
      <c r="HJ200" s="2297"/>
      <c r="HK200" s="2297"/>
      <c r="HL200" s="2297"/>
      <c r="HM200" s="2297"/>
      <c r="HN200" s="2297"/>
      <c r="HO200" s="2297"/>
      <c r="HP200" s="2297"/>
      <c r="HQ200" s="2297"/>
      <c r="HR200" s="2297"/>
      <c r="HS200" s="2297"/>
      <c r="HT200" s="2297"/>
      <c r="HU200" s="2297"/>
      <c r="HV200" s="2297"/>
      <c r="HW200" s="2297"/>
      <c r="HX200" s="2297"/>
      <c r="HY200" s="2297"/>
      <c r="HZ200" s="2297"/>
      <c r="IA200" s="2297"/>
      <c r="IB200" s="2297"/>
      <c r="IC200" s="2297"/>
      <c r="ID200" s="2297"/>
      <c r="IE200" s="2297"/>
      <c r="IF200" s="2297"/>
      <c r="IG200" s="2297"/>
      <c r="IH200" s="2297"/>
      <c r="II200" s="2297"/>
      <c r="IJ200" s="2297"/>
      <c r="IK200" s="2297"/>
      <c r="IL200" s="2297"/>
      <c r="IM200" s="2297"/>
      <c r="IN200" s="2297"/>
      <c r="IO200" s="2297"/>
      <c r="IP200" s="2297"/>
      <c r="IQ200" s="2297"/>
      <c r="IR200" s="2297"/>
      <c r="IS200" s="2297"/>
      <c r="IT200" s="2297"/>
      <c r="IU200" s="2297"/>
      <c r="IV200" s="2297"/>
    </row>
    <row r="201" spans="3:256">
      <c r="C201" s="2298"/>
      <c r="D201" s="2298"/>
      <c r="E201" s="2298"/>
      <c r="F201" s="2298"/>
      <c r="G201" s="2298"/>
      <c r="H201" s="2298"/>
      <c r="AC201" s="2297"/>
      <c r="AD201" s="2297"/>
      <c r="AE201" s="2297"/>
      <c r="AF201" s="2297"/>
      <c r="AG201" s="2297"/>
      <c r="AH201" s="2297"/>
      <c r="AI201" s="2297"/>
      <c r="AJ201" s="2297"/>
      <c r="AK201" s="2297"/>
      <c r="AL201" s="2297"/>
      <c r="AM201" s="2297"/>
      <c r="AN201" s="2297"/>
      <c r="AO201" s="2297"/>
      <c r="AP201" s="2297"/>
      <c r="AQ201" s="2297"/>
      <c r="AR201" s="2297"/>
      <c r="AS201" s="2297"/>
      <c r="AT201" s="2297"/>
      <c r="AU201" s="2297"/>
      <c r="AV201" s="2297"/>
      <c r="AW201" s="2297"/>
      <c r="AX201" s="2297"/>
      <c r="AY201" s="2297"/>
      <c r="AZ201" s="2297"/>
      <c r="BA201" s="2297"/>
      <c r="BB201" s="2297"/>
      <c r="BC201" s="2297"/>
      <c r="BD201" s="2297"/>
      <c r="BE201" s="2297"/>
      <c r="BF201" s="2297"/>
      <c r="BG201" s="2297"/>
      <c r="BH201" s="2297"/>
      <c r="BI201" s="2297"/>
      <c r="BJ201" s="2297"/>
      <c r="BK201" s="2297"/>
      <c r="BL201" s="2297"/>
      <c r="BM201" s="2297"/>
      <c r="BN201" s="2297"/>
      <c r="BO201" s="2297"/>
      <c r="BP201" s="2297"/>
      <c r="BQ201" s="2297"/>
      <c r="BR201" s="2297"/>
      <c r="BS201" s="2297"/>
      <c r="BT201" s="2297"/>
      <c r="BU201" s="2297"/>
      <c r="BV201" s="2297"/>
      <c r="BW201" s="2297"/>
      <c r="BX201" s="2297"/>
      <c r="BY201" s="2297"/>
      <c r="BZ201" s="2297"/>
      <c r="CA201" s="2297"/>
      <c r="CB201" s="2297"/>
      <c r="CC201" s="2297"/>
      <c r="CD201" s="2297"/>
      <c r="CE201" s="2297"/>
      <c r="CF201" s="2297"/>
      <c r="CG201" s="2297"/>
      <c r="CH201" s="2297"/>
      <c r="CI201" s="2297"/>
      <c r="CJ201" s="2297"/>
      <c r="CK201" s="2297"/>
      <c r="CL201" s="2297"/>
      <c r="CM201" s="2297"/>
      <c r="CN201" s="2297"/>
      <c r="CO201" s="2297"/>
      <c r="CP201" s="2297"/>
      <c r="CQ201" s="2297"/>
      <c r="CR201" s="2297"/>
      <c r="CS201" s="2297"/>
      <c r="CT201" s="2297"/>
      <c r="CU201" s="2297"/>
      <c r="CV201" s="2297"/>
      <c r="CW201" s="2297"/>
      <c r="CX201" s="2297"/>
      <c r="CY201" s="2297"/>
      <c r="CZ201" s="2297"/>
      <c r="DA201" s="2297"/>
      <c r="DB201" s="2297"/>
      <c r="DC201" s="2297"/>
      <c r="DD201" s="2297"/>
      <c r="DE201" s="2297"/>
      <c r="DF201" s="2297"/>
      <c r="DG201" s="2297"/>
      <c r="DH201" s="2297"/>
      <c r="DI201" s="2297"/>
      <c r="DJ201" s="2297"/>
      <c r="DK201" s="2297"/>
      <c r="DL201" s="2297"/>
      <c r="DM201" s="2297"/>
      <c r="DN201" s="2297"/>
      <c r="DO201" s="2297"/>
      <c r="DP201" s="2297"/>
      <c r="DQ201" s="2297"/>
      <c r="DR201" s="2297"/>
      <c r="DS201" s="2297"/>
      <c r="DT201" s="2297"/>
      <c r="DU201" s="2297"/>
      <c r="DV201" s="2297"/>
      <c r="DW201" s="2297"/>
      <c r="DX201" s="2297"/>
      <c r="DY201" s="2297"/>
      <c r="DZ201" s="2297"/>
      <c r="EA201" s="2297"/>
      <c r="EB201" s="2297"/>
      <c r="EC201" s="2297"/>
      <c r="ED201" s="2297"/>
      <c r="EE201" s="2297"/>
      <c r="EF201" s="2297"/>
      <c r="EG201" s="2297"/>
      <c r="EH201" s="2297"/>
      <c r="EI201" s="2297"/>
      <c r="EJ201" s="2297"/>
      <c r="EK201" s="2297"/>
      <c r="EL201" s="2297"/>
      <c r="EM201" s="2297"/>
      <c r="EN201" s="2297"/>
      <c r="EO201" s="2297"/>
      <c r="EP201" s="2297"/>
      <c r="EQ201" s="2297"/>
      <c r="ER201" s="2297"/>
      <c r="ES201" s="2297"/>
      <c r="ET201" s="2297"/>
      <c r="EU201" s="2297"/>
      <c r="EV201" s="2297"/>
      <c r="EW201" s="2297"/>
      <c r="EX201" s="2297"/>
      <c r="EY201" s="2297"/>
      <c r="EZ201" s="2297"/>
      <c r="FA201" s="2297"/>
      <c r="FB201" s="2297"/>
      <c r="FC201" s="2297"/>
      <c r="FD201" s="2297"/>
      <c r="FE201" s="2297"/>
      <c r="FF201" s="2297"/>
      <c r="FG201" s="2297"/>
      <c r="FH201" s="2297"/>
      <c r="FI201" s="2297"/>
      <c r="FJ201" s="2297"/>
      <c r="FK201" s="2297"/>
      <c r="FL201" s="2297"/>
      <c r="FM201" s="2297"/>
      <c r="FN201" s="2297"/>
      <c r="FO201" s="2297"/>
      <c r="FP201" s="2297"/>
      <c r="FQ201" s="2297"/>
      <c r="FR201" s="2297"/>
      <c r="FS201" s="2297"/>
      <c r="FT201" s="2297"/>
      <c r="FU201" s="2297"/>
      <c r="FV201" s="2297"/>
      <c r="FW201" s="2297"/>
      <c r="FX201" s="2297"/>
      <c r="FY201" s="2297"/>
      <c r="FZ201" s="2297"/>
      <c r="GA201" s="2297"/>
      <c r="GB201" s="2297"/>
      <c r="GC201" s="2297"/>
      <c r="GD201" s="2297"/>
      <c r="GE201" s="2297"/>
      <c r="GF201" s="2297"/>
      <c r="GG201" s="2297"/>
      <c r="GH201" s="2297"/>
      <c r="GI201" s="2297"/>
      <c r="GJ201" s="2297"/>
      <c r="GK201" s="2297"/>
      <c r="GL201" s="2297"/>
      <c r="GM201" s="2297"/>
      <c r="GN201" s="2297"/>
      <c r="GO201" s="2297"/>
      <c r="GP201" s="2297"/>
      <c r="GQ201" s="2297"/>
      <c r="GR201" s="2297"/>
      <c r="GS201" s="2297"/>
      <c r="GT201" s="2297"/>
      <c r="GU201" s="2297"/>
      <c r="GV201" s="2297"/>
      <c r="GW201" s="2297"/>
      <c r="GX201" s="2297"/>
      <c r="GY201" s="2297"/>
      <c r="GZ201" s="2297"/>
      <c r="HA201" s="2297"/>
      <c r="HB201" s="2297"/>
      <c r="HC201" s="2297"/>
      <c r="HD201" s="2297"/>
      <c r="HE201" s="2297"/>
      <c r="HF201" s="2297"/>
      <c r="HG201" s="2297"/>
      <c r="HH201" s="2297"/>
      <c r="HI201" s="2297"/>
      <c r="HJ201" s="2297"/>
      <c r="HK201" s="2297"/>
      <c r="HL201" s="2297"/>
      <c r="HM201" s="2297"/>
      <c r="HN201" s="2297"/>
      <c r="HO201" s="2297"/>
      <c r="HP201" s="2297"/>
      <c r="HQ201" s="2297"/>
      <c r="HR201" s="2297"/>
      <c r="HS201" s="2297"/>
      <c r="HT201" s="2297"/>
      <c r="HU201" s="2297"/>
      <c r="HV201" s="2297"/>
      <c r="HW201" s="2297"/>
      <c r="HX201" s="2297"/>
      <c r="HY201" s="2297"/>
      <c r="HZ201" s="2297"/>
      <c r="IA201" s="2297"/>
      <c r="IB201" s="2297"/>
      <c r="IC201" s="2297"/>
      <c r="ID201" s="2297"/>
      <c r="IE201" s="2297"/>
      <c r="IF201" s="2297"/>
      <c r="IG201" s="2297"/>
      <c r="IH201" s="2297"/>
      <c r="II201" s="2297"/>
      <c r="IJ201" s="2297"/>
      <c r="IK201" s="2297"/>
      <c r="IL201" s="2297"/>
      <c r="IM201" s="2297"/>
      <c r="IN201" s="2297"/>
      <c r="IO201" s="2297"/>
      <c r="IP201" s="2297"/>
      <c r="IQ201" s="2297"/>
      <c r="IR201" s="2297"/>
      <c r="IS201" s="2297"/>
      <c r="IT201" s="2297"/>
      <c r="IU201" s="2297"/>
      <c r="IV201" s="2297"/>
    </row>
    <row r="202" spans="3:256">
      <c r="C202" s="2298"/>
      <c r="D202" s="2298"/>
      <c r="E202" s="2298"/>
      <c r="F202" s="2298"/>
      <c r="G202" s="2298"/>
      <c r="H202" s="2298"/>
      <c r="AC202" s="2297"/>
      <c r="AD202" s="2297"/>
      <c r="AE202" s="2297"/>
      <c r="AF202" s="2297"/>
      <c r="AG202" s="2297"/>
      <c r="AH202" s="2297"/>
      <c r="AI202" s="2297"/>
      <c r="AJ202" s="2297"/>
      <c r="AK202" s="2297"/>
      <c r="AL202" s="2297"/>
      <c r="AM202" s="2297"/>
      <c r="AN202" s="2297"/>
      <c r="AO202" s="2297"/>
      <c r="AP202" s="2297"/>
      <c r="AQ202" s="2297"/>
      <c r="AR202" s="2297"/>
      <c r="AS202" s="2297"/>
      <c r="AT202" s="2297"/>
      <c r="AU202" s="2297"/>
      <c r="AV202" s="2297"/>
      <c r="AW202" s="2297"/>
      <c r="AX202" s="2297"/>
      <c r="AY202" s="2297"/>
      <c r="AZ202" s="2297"/>
      <c r="BA202" s="2297"/>
      <c r="BB202" s="2297"/>
      <c r="BC202" s="2297"/>
      <c r="BD202" s="2297"/>
      <c r="BE202" s="2297"/>
      <c r="BF202" s="2297"/>
      <c r="BG202" s="2297"/>
      <c r="BH202" s="2297"/>
      <c r="BI202" s="2297"/>
      <c r="BJ202" s="2297"/>
      <c r="BK202" s="2297"/>
      <c r="BL202" s="2297"/>
      <c r="BM202" s="2297"/>
      <c r="BN202" s="2297"/>
      <c r="BO202" s="2297"/>
      <c r="BP202" s="2297"/>
      <c r="BQ202" s="2297"/>
      <c r="BR202" s="2297"/>
      <c r="BS202" s="2297"/>
      <c r="BT202" s="2297"/>
      <c r="BU202" s="2297"/>
      <c r="BV202" s="2297"/>
      <c r="BW202" s="2297"/>
      <c r="BX202" s="2297"/>
      <c r="BY202" s="2297"/>
      <c r="BZ202" s="2297"/>
      <c r="CA202" s="2297"/>
      <c r="CB202" s="2297"/>
      <c r="CC202" s="2297"/>
      <c r="CD202" s="2297"/>
      <c r="CE202" s="2297"/>
      <c r="CF202" s="2297"/>
      <c r="CG202" s="2297"/>
      <c r="CH202" s="2297"/>
      <c r="CI202" s="2297"/>
      <c r="CJ202" s="2297"/>
      <c r="CK202" s="2297"/>
      <c r="CL202" s="2297"/>
      <c r="CM202" s="2297"/>
      <c r="CN202" s="2297"/>
      <c r="CO202" s="2297"/>
      <c r="CP202" s="2297"/>
      <c r="CQ202" s="2297"/>
      <c r="CR202" s="2297"/>
      <c r="CS202" s="2297"/>
      <c r="CT202" s="2297"/>
      <c r="CU202" s="2297"/>
      <c r="CV202" s="2297"/>
      <c r="CW202" s="2297"/>
      <c r="CX202" s="2297"/>
      <c r="CY202" s="2297"/>
      <c r="CZ202" s="2297"/>
      <c r="DA202" s="2297"/>
      <c r="DB202" s="2297"/>
      <c r="DC202" s="2297"/>
      <c r="DD202" s="2297"/>
      <c r="DE202" s="2297"/>
      <c r="DF202" s="2297"/>
      <c r="DG202" s="2297"/>
      <c r="DH202" s="2297"/>
      <c r="DI202" s="2297"/>
      <c r="DJ202" s="2297"/>
      <c r="DK202" s="2297"/>
      <c r="DL202" s="2297"/>
      <c r="DM202" s="2297"/>
      <c r="DN202" s="2297"/>
      <c r="DO202" s="2297"/>
      <c r="DP202" s="2297"/>
      <c r="DQ202" s="2297"/>
      <c r="DR202" s="2297"/>
      <c r="DS202" s="2297"/>
      <c r="DT202" s="2297"/>
      <c r="DU202" s="2297"/>
      <c r="DV202" s="2297"/>
      <c r="DW202" s="2297"/>
      <c r="DX202" s="2297"/>
      <c r="DY202" s="2297"/>
      <c r="DZ202" s="2297"/>
      <c r="EA202" s="2297"/>
      <c r="EB202" s="2297"/>
      <c r="EC202" s="2297"/>
      <c r="ED202" s="2297"/>
      <c r="EE202" s="2297"/>
      <c r="EF202" s="2297"/>
      <c r="EG202" s="2297"/>
      <c r="EH202" s="2297"/>
      <c r="EI202" s="2297"/>
      <c r="EJ202" s="2297"/>
      <c r="EK202" s="2297"/>
      <c r="EL202" s="2297"/>
      <c r="EM202" s="2297"/>
      <c r="EN202" s="2297"/>
      <c r="EO202" s="2297"/>
      <c r="EP202" s="2297"/>
      <c r="EQ202" s="2297"/>
      <c r="ER202" s="2297"/>
      <c r="ES202" s="2297"/>
      <c r="ET202" s="2297"/>
      <c r="EU202" s="2297"/>
      <c r="EV202" s="2297"/>
      <c r="EW202" s="2297"/>
      <c r="EX202" s="2297"/>
      <c r="EY202" s="2297"/>
      <c r="EZ202" s="2297"/>
      <c r="FA202" s="2297"/>
      <c r="FB202" s="2297"/>
      <c r="FC202" s="2297"/>
      <c r="FD202" s="2297"/>
      <c r="FE202" s="2297"/>
      <c r="FF202" s="2297"/>
      <c r="FG202" s="2297"/>
      <c r="FH202" s="2297"/>
      <c r="FI202" s="2297"/>
      <c r="FJ202" s="2297"/>
      <c r="FK202" s="2297"/>
      <c r="FL202" s="2297"/>
      <c r="FM202" s="2297"/>
      <c r="FN202" s="2297"/>
      <c r="FO202" s="2297"/>
      <c r="FP202" s="2297"/>
      <c r="FQ202" s="2297"/>
      <c r="FR202" s="2297"/>
      <c r="FS202" s="2297"/>
      <c r="FT202" s="2297"/>
      <c r="FU202" s="2297"/>
      <c r="FV202" s="2297"/>
      <c r="FW202" s="2297"/>
      <c r="FX202" s="2297"/>
      <c r="FY202" s="2297"/>
      <c r="FZ202" s="2297"/>
      <c r="GA202" s="2297"/>
      <c r="GB202" s="2297"/>
      <c r="GC202" s="2297"/>
      <c r="GD202" s="2297"/>
      <c r="GE202" s="2297"/>
      <c r="GF202" s="2297"/>
      <c r="GG202" s="2297"/>
      <c r="GH202" s="2297"/>
      <c r="GI202" s="2297"/>
      <c r="GJ202" s="2297"/>
      <c r="GK202" s="2297"/>
      <c r="GL202" s="2297"/>
      <c r="GM202" s="2297"/>
      <c r="GN202" s="2297"/>
      <c r="GO202" s="2297"/>
      <c r="GP202" s="2297"/>
      <c r="GQ202" s="2297"/>
      <c r="GR202" s="2297"/>
      <c r="GS202" s="2297"/>
      <c r="GT202" s="2297"/>
      <c r="GU202" s="2297"/>
      <c r="GV202" s="2297"/>
      <c r="GW202" s="2297"/>
      <c r="GX202" s="2297"/>
      <c r="GY202" s="2297"/>
      <c r="GZ202" s="2297"/>
      <c r="HA202" s="2297"/>
      <c r="HB202" s="2297"/>
      <c r="HC202" s="2297"/>
      <c r="HD202" s="2297"/>
      <c r="HE202" s="2297"/>
      <c r="HF202" s="2297"/>
      <c r="HG202" s="2297"/>
      <c r="HH202" s="2297"/>
      <c r="HI202" s="2297"/>
      <c r="HJ202" s="2297"/>
      <c r="HK202" s="2297"/>
      <c r="HL202" s="2297"/>
      <c r="HM202" s="2297"/>
      <c r="HN202" s="2297"/>
      <c r="HO202" s="2297"/>
      <c r="HP202" s="2297"/>
      <c r="HQ202" s="2297"/>
      <c r="HR202" s="2297"/>
      <c r="HS202" s="2297"/>
      <c r="HT202" s="2297"/>
      <c r="HU202" s="2297"/>
      <c r="HV202" s="2297"/>
      <c r="HW202" s="2297"/>
      <c r="HX202" s="2297"/>
      <c r="HY202" s="2297"/>
      <c r="HZ202" s="2297"/>
      <c r="IA202" s="2297"/>
      <c r="IB202" s="2297"/>
      <c r="IC202" s="2297"/>
      <c r="ID202" s="2297"/>
      <c r="IE202" s="2297"/>
      <c r="IF202" s="2297"/>
      <c r="IG202" s="2297"/>
      <c r="IH202" s="2297"/>
      <c r="II202" s="2297"/>
      <c r="IJ202" s="2297"/>
      <c r="IK202" s="2297"/>
      <c r="IL202" s="2297"/>
      <c r="IM202" s="2297"/>
      <c r="IN202" s="2297"/>
      <c r="IO202" s="2297"/>
      <c r="IP202" s="2297"/>
      <c r="IQ202" s="2297"/>
      <c r="IR202" s="2297"/>
      <c r="IS202" s="2297"/>
      <c r="IT202" s="2297"/>
      <c r="IU202" s="2297"/>
      <c r="IV202" s="2297"/>
    </row>
    <row r="203" spans="3:256">
      <c r="C203" s="2298"/>
      <c r="D203" s="2298"/>
      <c r="E203" s="2298"/>
      <c r="F203" s="2298"/>
      <c r="G203" s="2298"/>
      <c r="H203" s="2298"/>
      <c r="AC203" s="2297"/>
      <c r="AD203" s="2297"/>
      <c r="AE203" s="2297"/>
      <c r="AF203" s="2297"/>
      <c r="AG203" s="2297"/>
      <c r="AH203" s="2297"/>
      <c r="AI203" s="2297"/>
      <c r="AJ203" s="2297"/>
      <c r="AK203" s="2297"/>
      <c r="AL203" s="2297"/>
      <c r="AM203" s="2297"/>
      <c r="AN203" s="2297"/>
      <c r="AO203" s="2297"/>
      <c r="AP203" s="2297"/>
      <c r="AQ203" s="2297"/>
      <c r="AR203" s="2297"/>
      <c r="AS203" s="2297"/>
      <c r="AT203" s="2297"/>
      <c r="AU203" s="2297"/>
      <c r="AV203" s="2297"/>
      <c r="AW203" s="2297"/>
      <c r="AX203" s="2297"/>
      <c r="AY203" s="2297"/>
      <c r="AZ203" s="2297"/>
      <c r="BA203" s="2297"/>
      <c r="BB203" s="2297"/>
      <c r="BC203" s="2297"/>
      <c r="BD203" s="2297"/>
      <c r="BE203" s="2297"/>
      <c r="BF203" s="2297"/>
      <c r="BG203" s="2297"/>
      <c r="BH203" s="2297"/>
      <c r="BI203" s="2297"/>
      <c r="BJ203" s="2297"/>
      <c r="BK203" s="2297"/>
      <c r="BL203" s="2297"/>
      <c r="BM203" s="2297"/>
      <c r="BN203" s="2297"/>
      <c r="BO203" s="2297"/>
      <c r="BP203" s="2297"/>
      <c r="BQ203" s="2297"/>
      <c r="BR203" s="2297"/>
      <c r="BS203" s="2297"/>
      <c r="BT203" s="2297"/>
      <c r="BU203" s="2297"/>
      <c r="BV203" s="2297"/>
      <c r="BW203" s="2297"/>
      <c r="BX203" s="2297"/>
      <c r="BY203" s="2297"/>
      <c r="BZ203" s="2297"/>
      <c r="CA203" s="2297"/>
      <c r="CB203" s="2297"/>
      <c r="CC203" s="2297"/>
      <c r="CD203" s="2297"/>
      <c r="CE203" s="2297"/>
      <c r="CF203" s="2297"/>
      <c r="CG203" s="2297"/>
      <c r="CH203" s="2297"/>
      <c r="CI203" s="2297"/>
      <c r="CJ203" s="2297"/>
      <c r="CK203" s="2297"/>
      <c r="CL203" s="2297"/>
      <c r="CM203" s="2297"/>
      <c r="CN203" s="2297"/>
      <c r="CO203" s="2297"/>
      <c r="CP203" s="2297"/>
      <c r="CQ203" s="2297"/>
      <c r="CR203" s="2297"/>
      <c r="CS203" s="2297"/>
      <c r="CT203" s="2297"/>
      <c r="CU203" s="2297"/>
      <c r="CV203" s="2297"/>
      <c r="CW203" s="2297"/>
      <c r="CX203" s="2297"/>
      <c r="CY203" s="2297"/>
      <c r="CZ203" s="2297"/>
      <c r="DA203" s="2297"/>
      <c r="DB203" s="2297"/>
      <c r="DC203" s="2297"/>
      <c r="DD203" s="2297"/>
      <c r="DE203" s="2297"/>
      <c r="DF203" s="2297"/>
      <c r="DG203" s="2297"/>
      <c r="DH203" s="2297"/>
      <c r="DI203" s="2297"/>
      <c r="DJ203" s="2297"/>
      <c r="DK203" s="2297"/>
      <c r="DL203" s="2297"/>
      <c r="DM203" s="2297"/>
      <c r="DN203" s="2297"/>
      <c r="DO203" s="2297"/>
      <c r="DP203" s="2297"/>
      <c r="DQ203" s="2297"/>
      <c r="DR203" s="2297"/>
      <c r="DS203" s="2297"/>
      <c r="DT203" s="2297"/>
      <c r="DU203" s="2297"/>
      <c r="DV203" s="2297"/>
      <c r="DW203" s="2297"/>
      <c r="DX203" s="2297"/>
      <c r="DY203" s="2297"/>
      <c r="DZ203" s="2297"/>
      <c r="EA203" s="2297"/>
      <c r="EB203" s="2297"/>
      <c r="EC203" s="2297"/>
      <c r="ED203" s="2297"/>
      <c r="EE203" s="2297"/>
      <c r="EF203" s="2297"/>
      <c r="EG203" s="2297"/>
      <c r="EH203" s="2297"/>
      <c r="EI203" s="2297"/>
      <c r="EJ203" s="2297"/>
      <c r="EK203" s="2297"/>
      <c r="EL203" s="2297"/>
      <c r="EM203" s="2297"/>
      <c r="EN203" s="2297"/>
      <c r="EO203" s="2297"/>
      <c r="EP203" s="2297"/>
      <c r="EQ203" s="2297"/>
      <c r="ER203" s="2297"/>
      <c r="ES203" s="2297"/>
      <c r="ET203" s="2297"/>
      <c r="EU203" s="2297"/>
      <c r="EV203" s="2297"/>
      <c r="EW203" s="2297"/>
      <c r="EX203" s="2297"/>
      <c r="EY203" s="2297"/>
      <c r="EZ203" s="2297"/>
      <c r="FA203" s="2297"/>
      <c r="FB203" s="2297"/>
      <c r="FC203" s="2297"/>
      <c r="FD203" s="2297"/>
      <c r="FE203" s="2297"/>
      <c r="FF203" s="2297"/>
      <c r="FG203" s="2297"/>
      <c r="FH203" s="2297"/>
      <c r="FI203" s="2297"/>
      <c r="FJ203" s="2297"/>
      <c r="FK203" s="2297"/>
      <c r="FL203" s="2297"/>
      <c r="FM203" s="2297"/>
      <c r="FN203" s="2297"/>
      <c r="FO203" s="2297"/>
      <c r="FP203" s="2297"/>
      <c r="FQ203" s="2297"/>
      <c r="FR203" s="2297"/>
      <c r="FS203" s="2297"/>
      <c r="FT203" s="2297"/>
      <c r="FU203" s="2297"/>
      <c r="FV203" s="2297"/>
      <c r="FW203" s="2297"/>
      <c r="FX203" s="2297"/>
      <c r="FY203" s="2297"/>
      <c r="FZ203" s="2297"/>
      <c r="GA203" s="2297"/>
      <c r="GB203" s="2297"/>
      <c r="GC203" s="2297"/>
      <c r="GD203" s="2297"/>
      <c r="GE203" s="2297"/>
      <c r="GF203" s="2297"/>
      <c r="GG203" s="2297"/>
      <c r="GH203" s="2297"/>
      <c r="GI203" s="2297"/>
      <c r="GJ203" s="2297"/>
      <c r="GK203" s="2297"/>
      <c r="GL203" s="2297"/>
      <c r="GM203" s="2297"/>
      <c r="GN203" s="2297"/>
      <c r="GO203" s="2297"/>
      <c r="GP203" s="2297"/>
      <c r="GQ203" s="2297"/>
      <c r="GR203" s="2297"/>
      <c r="GS203" s="2297"/>
      <c r="GT203" s="2297"/>
      <c r="GU203" s="2297"/>
      <c r="GV203" s="2297"/>
      <c r="GW203" s="2297"/>
      <c r="GX203" s="2297"/>
      <c r="GY203" s="2297"/>
      <c r="GZ203" s="2297"/>
      <c r="HA203" s="2297"/>
      <c r="HB203" s="2297"/>
      <c r="HC203" s="2297"/>
      <c r="HD203" s="2297"/>
      <c r="HE203" s="2297"/>
      <c r="HF203" s="2297"/>
      <c r="HG203" s="2297"/>
      <c r="HH203" s="2297"/>
      <c r="HI203" s="2297"/>
      <c r="HJ203" s="2297"/>
      <c r="HK203" s="2297"/>
      <c r="HL203" s="2297"/>
      <c r="HM203" s="2297"/>
      <c r="HN203" s="2297"/>
      <c r="HO203" s="2297"/>
      <c r="HP203" s="2297"/>
      <c r="HQ203" s="2297"/>
      <c r="HR203" s="2297"/>
      <c r="HS203" s="2297"/>
      <c r="HT203" s="2297"/>
      <c r="HU203" s="2297"/>
      <c r="HV203" s="2297"/>
      <c r="HW203" s="2297"/>
      <c r="HX203" s="2297"/>
      <c r="HY203" s="2297"/>
      <c r="HZ203" s="2297"/>
      <c r="IA203" s="2297"/>
      <c r="IB203" s="2297"/>
      <c r="IC203" s="2297"/>
      <c r="ID203" s="2297"/>
      <c r="IE203" s="2297"/>
      <c r="IF203" s="2297"/>
      <c r="IG203" s="2297"/>
      <c r="IH203" s="2297"/>
      <c r="II203" s="2297"/>
      <c r="IJ203" s="2297"/>
      <c r="IK203" s="2297"/>
      <c r="IL203" s="2297"/>
      <c r="IM203" s="2297"/>
      <c r="IN203" s="2297"/>
      <c r="IO203" s="2297"/>
      <c r="IP203" s="2297"/>
      <c r="IQ203" s="2297"/>
      <c r="IR203" s="2297"/>
      <c r="IS203" s="2297"/>
      <c r="IT203" s="2297"/>
      <c r="IU203" s="2297"/>
      <c r="IV203" s="2297"/>
    </row>
    <row r="204" spans="3:256">
      <c r="C204" s="2298"/>
      <c r="D204" s="2298"/>
      <c r="E204" s="2298"/>
      <c r="F204" s="2298"/>
      <c r="G204" s="2298"/>
      <c r="H204" s="2298"/>
      <c r="AC204" s="2297"/>
      <c r="AD204" s="2297"/>
      <c r="AE204" s="2297"/>
      <c r="AF204" s="2297"/>
      <c r="AG204" s="2297"/>
      <c r="AH204" s="2297"/>
      <c r="AI204" s="2297"/>
      <c r="AJ204" s="2297"/>
      <c r="AK204" s="2297"/>
      <c r="AL204" s="2297"/>
      <c r="AM204" s="2297"/>
      <c r="AN204" s="2297"/>
      <c r="AO204" s="2297"/>
      <c r="AP204" s="2297"/>
      <c r="AQ204" s="2297"/>
      <c r="AR204" s="2297"/>
      <c r="AS204" s="2297"/>
      <c r="AT204" s="2297"/>
      <c r="AU204" s="2297"/>
      <c r="AV204" s="2297"/>
      <c r="AW204" s="2297"/>
      <c r="AX204" s="2297"/>
      <c r="AY204" s="2297"/>
      <c r="AZ204" s="2297"/>
      <c r="BA204" s="2297"/>
      <c r="BB204" s="2297"/>
      <c r="BC204" s="2297"/>
      <c r="BD204" s="2297"/>
      <c r="BE204" s="2297"/>
      <c r="BF204" s="2297"/>
      <c r="BG204" s="2297"/>
      <c r="BH204" s="2297"/>
      <c r="BI204" s="2297"/>
      <c r="BJ204" s="2297"/>
      <c r="BK204" s="2297"/>
      <c r="BL204" s="2297"/>
      <c r="BM204" s="2297"/>
      <c r="BN204" s="2297"/>
      <c r="BO204" s="2297"/>
      <c r="BP204" s="2297"/>
      <c r="BQ204" s="2297"/>
      <c r="BR204" s="2297"/>
      <c r="BS204" s="2297"/>
      <c r="BT204" s="2297"/>
      <c r="BU204" s="2297"/>
      <c r="BV204" s="2297"/>
      <c r="BW204" s="2297"/>
      <c r="BX204" s="2297"/>
      <c r="BY204" s="2297"/>
      <c r="BZ204" s="2297"/>
      <c r="CA204" s="2297"/>
      <c r="CB204" s="2297"/>
      <c r="CC204" s="2297"/>
      <c r="CD204" s="2297"/>
      <c r="CE204" s="2297"/>
      <c r="CF204" s="2297"/>
      <c r="CG204" s="2297"/>
      <c r="CH204" s="2297"/>
      <c r="CI204" s="2297"/>
      <c r="CJ204" s="2297"/>
      <c r="CK204" s="2297"/>
      <c r="CL204" s="2297"/>
      <c r="CM204" s="2297"/>
      <c r="CN204" s="2297"/>
      <c r="CO204" s="2297"/>
      <c r="CP204" s="2297"/>
      <c r="CQ204" s="2297"/>
      <c r="CR204" s="2297"/>
      <c r="CS204" s="2297"/>
      <c r="CT204" s="2297"/>
      <c r="CU204" s="2297"/>
      <c r="CV204" s="2297"/>
      <c r="CW204" s="2297"/>
      <c r="CX204" s="2297"/>
      <c r="CY204" s="2297"/>
      <c r="CZ204" s="2297"/>
      <c r="DA204" s="2297"/>
      <c r="DB204" s="2297"/>
      <c r="DC204" s="2297"/>
      <c r="DD204" s="2297"/>
      <c r="DE204" s="2297"/>
      <c r="DF204" s="2297"/>
      <c r="DG204" s="2297"/>
      <c r="DH204" s="2297"/>
      <c r="DI204" s="2297"/>
      <c r="DJ204" s="2297"/>
      <c r="DK204" s="2297"/>
      <c r="DL204" s="2297"/>
      <c r="DM204" s="2297"/>
      <c r="DN204" s="2297"/>
      <c r="DO204" s="2297"/>
      <c r="DP204" s="2297"/>
      <c r="DQ204" s="2297"/>
      <c r="DR204" s="2297"/>
      <c r="DS204" s="2297"/>
      <c r="DT204" s="2297"/>
      <c r="DU204" s="2297"/>
      <c r="DV204" s="2297"/>
      <c r="DW204" s="2297"/>
      <c r="DX204" s="2297"/>
      <c r="DY204" s="2297"/>
      <c r="DZ204" s="2297"/>
      <c r="EA204" s="2297"/>
      <c r="EB204" s="2297"/>
      <c r="EC204" s="2297"/>
      <c r="ED204" s="2297"/>
      <c r="EE204" s="2297"/>
      <c r="EF204" s="2297"/>
      <c r="EG204" s="2297"/>
      <c r="EH204" s="2297"/>
      <c r="EI204" s="2297"/>
      <c r="EJ204" s="2297"/>
      <c r="EK204" s="2297"/>
      <c r="EL204" s="2297"/>
      <c r="EM204" s="2297"/>
      <c r="EN204" s="2297"/>
      <c r="EO204" s="2297"/>
      <c r="EP204" s="2297"/>
      <c r="EQ204" s="2297"/>
      <c r="ER204" s="2297"/>
      <c r="ES204" s="2297"/>
      <c r="ET204" s="2297"/>
      <c r="EU204" s="2297"/>
      <c r="EV204" s="2297"/>
      <c r="EW204" s="2297"/>
      <c r="EX204" s="2297"/>
      <c r="EY204" s="2297"/>
      <c r="EZ204" s="2297"/>
      <c r="FA204" s="2297"/>
      <c r="FB204" s="2297"/>
      <c r="FC204" s="2297"/>
      <c r="FD204" s="2297"/>
      <c r="FE204" s="2297"/>
      <c r="FF204" s="2297"/>
      <c r="FG204" s="2297"/>
      <c r="FH204" s="2297"/>
      <c r="FI204" s="2297"/>
      <c r="FJ204" s="2297"/>
      <c r="FK204" s="2297"/>
      <c r="FL204" s="2297"/>
      <c r="FM204" s="2297"/>
      <c r="FN204" s="2297"/>
      <c r="FO204" s="2297"/>
      <c r="FP204" s="2297"/>
      <c r="FQ204" s="2297"/>
      <c r="FR204" s="2297"/>
      <c r="FS204" s="2297"/>
      <c r="FT204" s="2297"/>
      <c r="FU204" s="2297"/>
      <c r="FV204" s="2297"/>
      <c r="FW204" s="2297"/>
      <c r="FX204" s="2297"/>
      <c r="FY204" s="2297"/>
      <c r="FZ204" s="2297"/>
      <c r="GA204" s="2297"/>
      <c r="GB204" s="2297"/>
      <c r="GC204" s="2297"/>
      <c r="GD204" s="2297"/>
      <c r="GE204" s="2297"/>
      <c r="GF204" s="2297"/>
      <c r="GG204" s="2297"/>
      <c r="GH204" s="2297"/>
      <c r="GI204" s="2297"/>
      <c r="GJ204" s="2297"/>
      <c r="GK204" s="2297"/>
      <c r="GL204" s="2297"/>
      <c r="GM204" s="2297"/>
      <c r="GN204" s="2297"/>
      <c r="GO204" s="2297"/>
      <c r="GP204" s="2297"/>
      <c r="GQ204" s="2297"/>
      <c r="GR204" s="2297"/>
      <c r="GS204" s="2297"/>
      <c r="GT204" s="2297"/>
      <c r="GU204" s="2297"/>
      <c r="GV204" s="2297"/>
      <c r="GW204" s="2297"/>
      <c r="GX204" s="2297"/>
      <c r="GY204" s="2297"/>
      <c r="GZ204" s="2297"/>
      <c r="HA204" s="2297"/>
      <c r="HB204" s="2297"/>
      <c r="HC204" s="2297"/>
      <c r="HD204" s="2297"/>
      <c r="HE204" s="2297"/>
      <c r="HF204" s="2297"/>
      <c r="HG204" s="2297"/>
      <c r="HH204" s="2297"/>
      <c r="HI204" s="2297"/>
      <c r="HJ204" s="2297"/>
      <c r="HK204" s="2297"/>
      <c r="HL204" s="2297"/>
      <c r="HM204" s="2297"/>
      <c r="HN204" s="2297"/>
      <c r="HO204" s="2297"/>
      <c r="HP204" s="2297"/>
      <c r="HQ204" s="2297"/>
      <c r="HR204" s="2297"/>
      <c r="HS204" s="2297"/>
      <c r="HT204" s="2297"/>
      <c r="HU204" s="2297"/>
      <c r="HV204" s="2297"/>
      <c r="HW204" s="2297"/>
      <c r="HX204" s="2297"/>
      <c r="HY204" s="2297"/>
      <c r="HZ204" s="2297"/>
      <c r="IA204" s="2297"/>
      <c r="IB204" s="2297"/>
      <c r="IC204" s="2297"/>
      <c r="ID204" s="2297"/>
      <c r="IE204" s="2297"/>
      <c r="IF204" s="2297"/>
      <c r="IG204" s="2297"/>
      <c r="IH204" s="2297"/>
      <c r="II204" s="2297"/>
      <c r="IJ204" s="2297"/>
      <c r="IK204" s="2297"/>
      <c r="IL204" s="2297"/>
      <c r="IM204" s="2297"/>
      <c r="IN204" s="2297"/>
      <c r="IO204" s="2297"/>
      <c r="IP204" s="2297"/>
      <c r="IQ204" s="2297"/>
      <c r="IR204" s="2297"/>
      <c r="IS204" s="2297"/>
      <c r="IT204" s="2297"/>
      <c r="IU204" s="2297"/>
      <c r="IV204" s="2297"/>
    </row>
    <row r="205" spans="3:256">
      <c r="C205" s="2298"/>
      <c r="D205" s="2298"/>
      <c r="E205" s="2298"/>
      <c r="F205" s="2298"/>
      <c r="G205" s="2298"/>
      <c r="H205" s="2298"/>
      <c r="AC205" s="2297"/>
      <c r="AD205" s="2297"/>
      <c r="AE205" s="2297"/>
      <c r="AF205" s="2297"/>
      <c r="AG205" s="2297"/>
      <c r="AH205" s="2297"/>
      <c r="AI205" s="2297"/>
      <c r="AJ205" s="2297"/>
      <c r="AK205" s="2297"/>
      <c r="AL205" s="2297"/>
      <c r="AM205" s="2297"/>
      <c r="AN205" s="2297"/>
      <c r="AO205" s="2297"/>
      <c r="AP205" s="2297"/>
      <c r="AQ205" s="2297"/>
      <c r="AR205" s="2297"/>
      <c r="AS205" s="2297"/>
      <c r="AT205" s="2297"/>
      <c r="AU205" s="2297"/>
      <c r="AV205" s="2297"/>
      <c r="AW205" s="2297"/>
      <c r="AX205" s="2297"/>
      <c r="AY205" s="2297"/>
      <c r="AZ205" s="2297"/>
      <c r="BA205" s="2297"/>
      <c r="BB205" s="2297"/>
      <c r="BC205" s="2297"/>
      <c r="BD205" s="2297"/>
      <c r="BE205" s="2297"/>
      <c r="BF205" s="2297"/>
      <c r="BG205" s="2297"/>
      <c r="BH205" s="2297"/>
      <c r="BI205" s="2297"/>
      <c r="BJ205" s="2297"/>
      <c r="BK205" s="2297"/>
      <c r="BL205" s="2297"/>
      <c r="BM205" s="2297"/>
      <c r="BN205" s="2297"/>
      <c r="BO205" s="2297"/>
      <c r="BP205" s="2297"/>
      <c r="BQ205" s="2297"/>
      <c r="BR205" s="2297"/>
      <c r="BS205" s="2297"/>
      <c r="BT205" s="2297"/>
      <c r="BU205" s="2297"/>
      <c r="BV205" s="2297"/>
      <c r="BW205" s="2297"/>
      <c r="BX205" s="2297"/>
      <c r="BY205" s="2297"/>
      <c r="BZ205" s="2297"/>
      <c r="CA205" s="2297"/>
      <c r="CB205" s="2297"/>
      <c r="CC205" s="2297"/>
      <c r="CD205" s="2297"/>
      <c r="CE205" s="2297"/>
      <c r="CF205" s="2297"/>
      <c r="CG205" s="2297"/>
      <c r="CH205" s="2297"/>
      <c r="CI205" s="2297"/>
      <c r="CJ205" s="2297"/>
      <c r="CK205" s="2297"/>
      <c r="CL205" s="2297"/>
      <c r="CM205" s="2297"/>
      <c r="CN205" s="2297"/>
      <c r="CO205" s="2297"/>
      <c r="CP205" s="2297"/>
      <c r="CQ205" s="2297"/>
      <c r="CR205" s="2297"/>
      <c r="CS205" s="2297"/>
      <c r="CT205" s="2297"/>
      <c r="CU205" s="2297"/>
      <c r="CV205" s="2297"/>
      <c r="CW205" s="2297"/>
      <c r="CX205" s="2297"/>
      <c r="CY205" s="2297"/>
      <c r="CZ205" s="2297"/>
      <c r="DA205" s="2297"/>
      <c r="DB205" s="2297"/>
      <c r="DC205" s="2297"/>
      <c r="DD205" s="2297"/>
      <c r="DE205" s="2297"/>
      <c r="DF205" s="2297"/>
      <c r="DG205" s="2297"/>
      <c r="DH205" s="2297"/>
      <c r="DI205" s="2297"/>
      <c r="DJ205" s="2297"/>
      <c r="DK205" s="2297"/>
      <c r="DL205" s="2297"/>
      <c r="DM205" s="2297"/>
      <c r="DN205" s="2297"/>
      <c r="DO205" s="2297"/>
      <c r="DP205" s="2297"/>
      <c r="DQ205" s="2297"/>
      <c r="DR205" s="2297"/>
      <c r="DS205" s="2297"/>
      <c r="DT205" s="2297"/>
      <c r="DU205" s="2297"/>
      <c r="DV205" s="2297"/>
      <c r="DW205" s="2297"/>
      <c r="DX205" s="2297"/>
      <c r="DY205" s="2297"/>
      <c r="DZ205" s="2297"/>
      <c r="EA205" s="2297"/>
      <c r="EB205" s="2297"/>
      <c r="EC205" s="2297"/>
      <c r="ED205" s="2297"/>
      <c r="EE205" s="2297"/>
      <c r="EF205" s="2297"/>
      <c r="EG205" s="2297"/>
      <c r="EH205" s="2297"/>
      <c r="EI205" s="2297"/>
      <c r="EJ205" s="2297"/>
      <c r="EK205" s="2297"/>
      <c r="EL205" s="2297"/>
      <c r="EM205" s="2297"/>
      <c r="EN205" s="2297"/>
      <c r="EO205" s="2297"/>
      <c r="EP205" s="2297"/>
      <c r="EQ205" s="2297"/>
      <c r="ER205" s="2297"/>
      <c r="ES205" s="2297"/>
      <c r="ET205" s="2297"/>
      <c r="EU205" s="2297"/>
      <c r="EV205" s="2297"/>
      <c r="EW205" s="2297"/>
      <c r="EX205" s="2297"/>
      <c r="EY205" s="2297"/>
      <c r="EZ205" s="2297"/>
      <c r="FA205" s="2297"/>
      <c r="FB205" s="2297"/>
      <c r="FC205" s="2297"/>
      <c r="FD205" s="2297"/>
      <c r="FE205" s="2297"/>
      <c r="FF205" s="2297"/>
      <c r="FG205" s="2297"/>
      <c r="FH205" s="2297"/>
      <c r="FI205" s="2297"/>
      <c r="FJ205" s="2297"/>
      <c r="FK205" s="2297"/>
      <c r="FL205" s="2297"/>
      <c r="FM205" s="2297"/>
      <c r="FN205" s="2297"/>
      <c r="FO205" s="2297"/>
      <c r="FP205" s="2297"/>
      <c r="FQ205" s="2297"/>
      <c r="FR205" s="2297"/>
      <c r="FS205" s="2297"/>
      <c r="FT205" s="2297"/>
      <c r="FU205" s="2297"/>
      <c r="FV205" s="2297"/>
      <c r="FW205" s="2297"/>
      <c r="FX205" s="2297"/>
      <c r="FY205" s="2297"/>
      <c r="FZ205" s="2297"/>
      <c r="GA205" s="2297"/>
      <c r="GB205" s="2297"/>
      <c r="GC205" s="2297"/>
      <c r="GD205" s="2297"/>
      <c r="GE205" s="2297"/>
      <c r="GF205" s="2297"/>
      <c r="GG205" s="2297"/>
      <c r="GH205" s="2297"/>
      <c r="GI205" s="2297"/>
      <c r="GJ205" s="2297"/>
      <c r="GK205" s="2297"/>
      <c r="GL205" s="2297"/>
      <c r="GM205" s="2297"/>
      <c r="GN205" s="2297"/>
      <c r="GO205" s="2297"/>
      <c r="GP205" s="2297"/>
      <c r="GQ205" s="2297"/>
      <c r="GR205" s="2297"/>
      <c r="GS205" s="2297"/>
      <c r="GT205" s="2297"/>
      <c r="GU205" s="2297"/>
      <c r="GV205" s="2297"/>
      <c r="GW205" s="2297"/>
      <c r="GX205" s="2297"/>
      <c r="GY205" s="2297"/>
      <c r="GZ205" s="2297"/>
      <c r="HA205" s="2297"/>
      <c r="HB205" s="2297"/>
      <c r="HC205" s="2297"/>
      <c r="HD205" s="2297"/>
      <c r="HE205" s="2297"/>
      <c r="HF205" s="2297"/>
      <c r="HG205" s="2297"/>
      <c r="HH205" s="2297"/>
      <c r="HI205" s="2297"/>
      <c r="HJ205" s="2297"/>
      <c r="HK205" s="2297"/>
      <c r="HL205" s="2297"/>
      <c r="HM205" s="2297"/>
      <c r="HN205" s="2297"/>
      <c r="HO205" s="2297"/>
      <c r="HP205" s="2297"/>
      <c r="HQ205" s="2297"/>
      <c r="HR205" s="2297"/>
      <c r="HS205" s="2297"/>
      <c r="HT205" s="2297"/>
      <c r="HU205" s="2297"/>
      <c r="HV205" s="2297"/>
      <c r="HW205" s="2297"/>
      <c r="HX205" s="2297"/>
      <c r="HY205" s="2297"/>
      <c r="HZ205" s="2297"/>
      <c r="IA205" s="2297"/>
      <c r="IB205" s="2297"/>
      <c r="IC205" s="2297"/>
      <c r="ID205" s="2297"/>
      <c r="IE205" s="2297"/>
      <c r="IF205" s="2297"/>
      <c r="IG205" s="2297"/>
      <c r="IH205" s="2297"/>
      <c r="II205" s="2297"/>
      <c r="IJ205" s="2297"/>
      <c r="IK205" s="2297"/>
      <c r="IL205" s="2297"/>
      <c r="IM205" s="2297"/>
      <c r="IN205" s="2297"/>
      <c r="IO205" s="2297"/>
      <c r="IP205" s="2297"/>
      <c r="IQ205" s="2297"/>
      <c r="IR205" s="2297"/>
      <c r="IS205" s="2297"/>
      <c r="IT205" s="2297"/>
      <c r="IU205" s="2297"/>
      <c r="IV205" s="2297"/>
    </row>
    <row r="206" spans="3:256">
      <c r="C206" s="2298"/>
      <c r="D206" s="2298"/>
      <c r="E206" s="2298"/>
      <c r="F206" s="2298"/>
      <c r="G206" s="2298"/>
      <c r="H206" s="2298"/>
      <c r="AC206" s="2297"/>
      <c r="AD206" s="2297"/>
      <c r="AE206" s="2297"/>
      <c r="AF206" s="2297"/>
      <c r="AG206" s="2297"/>
      <c r="AH206" s="2297"/>
      <c r="AI206" s="2297"/>
      <c r="AJ206" s="2297"/>
      <c r="AK206" s="2297"/>
      <c r="AL206" s="2297"/>
      <c r="AM206" s="2297"/>
      <c r="AN206" s="2297"/>
      <c r="AO206" s="2297"/>
      <c r="AP206" s="2297"/>
      <c r="AQ206" s="2297"/>
      <c r="AR206" s="2297"/>
      <c r="AS206" s="2297"/>
      <c r="AT206" s="2297"/>
      <c r="AU206" s="2297"/>
      <c r="AV206" s="2297"/>
      <c r="AW206" s="2297"/>
      <c r="AX206" s="2297"/>
      <c r="AY206" s="2297"/>
      <c r="AZ206" s="2297"/>
      <c r="BA206" s="2297"/>
      <c r="BB206" s="2297"/>
      <c r="BC206" s="2297"/>
      <c r="BD206" s="2297"/>
      <c r="BE206" s="2297"/>
      <c r="BF206" s="2297"/>
      <c r="BG206" s="2297"/>
      <c r="BH206" s="2297"/>
      <c r="BI206" s="2297"/>
      <c r="BJ206" s="2297"/>
      <c r="BK206" s="2297"/>
      <c r="BL206" s="2297"/>
      <c r="BM206" s="2297"/>
      <c r="BN206" s="2297"/>
      <c r="BO206" s="2297"/>
      <c r="BP206" s="2297"/>
      <c r="BQ206" s="2297"/>
      <c r="BR206" s="2297"/>
      <c r="BS206" s="2297"/>
      <c r="BT206" s="2297"/>
      <c r="BU206" s="2297"/>
      <c r="BV206" s="2297"/>
      <c r="BW206" s="2297"/>
      <c r="BX206" s="2297"/>
      <c r="BY206" s="2297"/>
      <c r="BZ206" s="2297"/>
      <c r="CA206" s="2297"/>
      <c r="CB206" s="2297"/>
      <c r="CC206" s="2297"/>
      <c r="CD206" s="2297"/>
      <c r="CE206" s="2297"/>
      <c r="CF206" s="2297"/>
      <c r="CG206" s="2297"/>
      <c r="CH206" s="2297"/>
      <c r="CI206" s="2297"/>
      <c r="CJ206" s="2297"/>
      <c r="CK206" s="2297"/>
      <c r="CL206" s="2297"/>
      <c r="CM206" s="2297"/>
      <c r="CN206" s="2297"/>
      <c r="CO206" s="2297"/>
      <c r="CP206" s="2297"/>
      <c r="CQ206" s="2297"/>
      <c r="CR206" s="2297"/>
      <c r="CS206" s="2297"/>
      <c r="CT206" s="2297"/>
      <c r="CU206" s="2297"/>
      <c r="CV206" s="2297"/>
      <c r="CW206" s="2297"/>
      <c r="CX206" s="2297"/>
      <c r="CY206" s="2297"/>
      <c r="CZ206" s="2297"/>
      <c r="DA206" s="2297"/>
      <c r="DB206" s="2297"/>
      <c r="DC206" s="2297"/>
      <c r="DD206" s="2297"/>
      <c r="DE206" s="2297"/>
      <c r="DF206" s="2297"/>
      <c r="DG206" s="2297"/>
      <c r="DH206" s="2297"/>
      <c r="DI206" s="2297"/>
      <c r="DJ206" s="2297"/>
      <c r="DK206" s="2297"/>
      <c r="DL206" s="2297"/>
      <c r="DM206" s="2297"/>
      <c r="DN206" s="2297"/>
      <c r="DO206" s="2297"/>
      <c r="DP206" s="2297"/>
      <c r="DQ206" s="2297"/>
      <c r="DR206" s="2297"/>
      <c r="DS206" s="2297"/>
      <c r="DT206" s="2297"/>
      <c r="DU206" s="2297"/>
      <c r="DV206" s="2297"/>
      <c r="DW206" s="2297"/>
      <c r="DX206" s="2297"/>
      <c r="DY206" s="2297"/>
      <c r="DZ206" s="2297"/>
      <c r="EA206" s="2297"/>
      <c r="EB206" s="2297"/>
      <c r="EC206" s="2297"/>
      <c r="ED206" s="2297"/>
      <c r="EE206" s="2297"/>
      <c r="EF206" s="2297"/>
      <c r="EG206" s="2297"/>
      <c r="EH206" s="2297"/>
      <c r="EI206" s="2297"/>
      <c r="EJ206" s="2297"/>
      <c r="EK206" s="2297"/>
      <c r="EL206" s="2297"/>
      <c r="EM206" s="2297"/>
      <c r="EN206" s="2297"/>
      <c r="EO206" s="2297"/>
      <c r="EP206" s="2297"/>
      <c r="EQ206" s="2297"/>
      <c r="ER206" s="2297"/>
      <c r="ES206" s="2297"/>
      <c r="ET206" s="2297"/>
      <c r="EU206" s="2297"/>
      <c r="EV206" s="2297"/>
      <c r="EW206" s="2297"/>
      <c r="EX206" s="2297"/>
      <c r="EY206" s="2297"/>
      <c r="EZ206" s="2297"/>
      <c r="FA206" s="2297"/>
      <c r="FB206" s="2297"/>
      <c r="FC206" s="2297"/>
      <c r="FD206" s="2297"/>
      <c r="FE206" s="2297"/>
      <c r="FF206" s="2297"/>
      <c r="FG206" s="2297"/>
      <c r="FH206" s="2297"/>
      <c r="FI206" s="2297"/>
      <c r="FJ206" s="2297"/>
      <c r="FK206" s="2297"/>
      <c r="FL206" s="2297"/>
      <c r="FM206" s="2297"/>
      <c r="FN206" s="2297"/>
      <c r="FO206" s="2297"/>
      <c r="FP206" s="2297"/>
      <c r="FQ206" s="2297"/>
      <c r="FR206" s="2297"/>
      <c r="FS206" s="2297"/>
      <c r="FT206" s="2297"/>
      <c r="FU206" s="2297"/>
      <c r="FV206" s="2297"/>
      <c r="FW206" s="2297"/>
      <c r="FX206" s="2297"/>
      <c r="FY206" s="2297"/>
      <c r="FZ206" s="2297"/>
      <c r="GA206" s="2297"/>
      <c r="GB206" s="2297"/>
      <c r="GC206" s="2297"/>
      <c r="GD206" s="2297"/>
      <c r="GE206" s="2297"/>
      <c r="GF206" s="2297"/>
      <c r="GG206" s="2297"/>
      <c r="GH206" s="2297"/>
      <c r="GI206" s="2297"/>
      <c r="GJ206" s="2297"/>
      <c r="GK206" s="2297"/>
      <c r="GL206" s="2297"/>
      <c r="GM206" s="2297"/>
      <c r="GN206" s="2297"/>
      <c r="GO206" s="2297"/>
      <c r="GP206" s="2297"/>
      <c r="GQ206" s="2297"/>
      <c r="GR206" s="2297"/>
      <c r="GS206" s="2297"/>
      <c r="GT206" s="2297"/>
      <c r="GU206" s="2297"/>
      <c r="GV206" s="2297"/>
      <c r="GW206" s="2297"/>
      <c r="GX206" s="2297"/>
      <c r="GY206" s="2297"/>
      <c r="GZ206" s="2297"/>
      <c r="HA206" s="2297"/>
      <c r="HB206" s="2297"/>
      <c r="HC206" s="2297"/>
      <c r="HD206" s="2297"/>
      <c r="HE206" s="2297"/>
      <c r="HF206" s="2297"/>
      <c r="HG206" s="2297"/>
      <c r="HH206" s="2297"/>
      <c r="HI206" s="2297"/>
      <c r="HJ206" s="2297"/>
      <c r="HK206" s="2297"/>
      <c r="HL206" s="2297"/>
      <c r="HM206" s="2297"/>
      <c r="HN206" s="2297"/>
      <c r="HO206" s="2297"/>
      <c r="HP206" s="2297"/>
      <c r="HQ206" s="2297"/>
      <c r="HR206" s="2297"/>
      <c r="HS206" s="2297"/>
      <c r="HT206" s="2297"/>
      <c r="HU206" s="2297"/>
      <c r="HV206" s="2297"/>
      <c r="HW206" s="2297"/>
      <c r="HX206" s="2297"/>
      <c r="HY206" s="2297"/>
      <c r="HZ206" s="2297"/>
      <c r="IA206" s="2297"/>
      <c r="IB206" s="2297"/>
      <c r="IC206" s="2297"/>
      <c r="ID206" s="2297"/>
      <c r="IE206" s="2297"/>
      <c r="IF206" s="2297"/>
      <c r="IG206" s="2297"/>
      <c r="IH206" s="2297"/>
      <c r="II206" s="2297"/>
      <c r="IJ206" s="2297"/>
      <c r="IK206" s="2297"/>
      <c r="IL206" s="2297"/>
      <c r="IM206" s="2297"/>
      <c r="IN206" s="2297"/>
      <c r="IO206" s="2297"/>
      <c r="IP206" s="2297"/>
      <c r="IQ206" s="2297"/>
      <c r="IR206" s="2297"/>
      <c r="IS206" s="2297"/>
      <c r="IT206" s="2297"/>
      <c r="IU206" s="2297"/>
      <c r="IV206" s="2297"/>
    </row>
    <row r="207" spans="3:256">
      <c r="C207" s="2298"/>
      <c r="D207" s="2298"/>
      <c r="E207" s="2298"/>
      <c r="F207" s="2298"/>
      <c r="G207" s="2298"/>
      <c r="H207" s="2298"/>
      <c r="AC207" s="2297"/>
      <c r="AD207" s="2297"/>
      <c r="AE207" s="2297"/>
      <c r="AF207" s="2297"/>
      <c r="AG207" s="2297"/>
      <c r="AH207" s="2297"/>
      <c r="AI207" s="2297"/>
      <c r="AJ207" s="2297"/>
      <c r="AK207" s="2297"/>
      <c r="AL207" s="2297"/>
      <c r="AM207" s="2297"/>
      <c r="AN207" s="2297"/>
      <c r="AO207" s="2297"/>
      <c r="AP207" s="2297"/>
      <c r="AQ207" s="2297"/>
      <c r="AR207" s="2297"/>
      <c r="AS207" s="2297"/>
      <c r="AT207" s="2297"/>
      <c r="AU207" s="2297"/>
      <c r="AV207" s="2297"/>
      <c r="AW207" s="2297"/>
      <c r="AX207" s="2297"/>
      <c r="AY207" s="2297"/>
      <c r="AZ207" s="2297"/>
      <c r="BA207" s="2297"/>
      <c r="BB207" s="2297"/>
      <c r="BC207" s="2297"/>
      <c r="BD207" s="2297"/>
      <c r="BE207" s="2297"/>
      <c r="BF207" s="2297"/>
      <c r="BG207" s="2297"/>
      <c r="BH207" s="2297"/>
      <c r="BI207" s="2297"/>
      <c r="BJ207" s="2297"/>
      <c r="BK207" s="2297"/>
      <c r="BL207" s="2297"/>
      <c r="BM207" s="2297"/>
      <c r="BN207" s="2297"/>
      <c r="BO207" s="2297"/>
      <c r="BP207" s="2297"/>
      <c r="BQ207" s="2297"/>
      <c r="BR207" s="2297"/>
      <c r="BS207" s="2297"/>
      <c r="BT207" s="2297"/>
      <c r="BU207" s="2297"/>
      <c r="BV207" s="2297"/>
      <c r="BW207" s="2297"/>
      <c r="BX207" s="2297"/>
      <c r="BY207" s="2297"/>
      <c r="BZ207" s="2297"/>
      <c r="CA207" s="2297"/>
      <c r="CB207" s="2297"/>
      <c r="CC207" s="2297"/>
      <c r="CD207" s="2297"/>
      <c r="CE207" s="2297"/>
      <c r="CF207" s="2297"/>
      <c r="CG207" s="2297"/>
      <c r="CH207" s="2297"/>
      <c r="CI207" s="2297"/>
      <c r="CJ207" s="2297"/>
      <c r="CK207" s="2297"/>
      <c r="CL207" s="2297"/>
      <c r="CM207" s="2297"/>
      <c r="CN207" s="2297"/>
      <c r="CO207" s="2297"/>
      <c r="CP207" s="2297"/>
      <c r="CQ207" s="2297"/>
      <c r="CR207" s="2297"/>
      <c r="CS207" s="2297"/>
      <c r="CT207" s="2297"/>
      <c r="CU207" s="2297"/>
      <c r="CV207" s="2297"/>
      <c r="CW207" s="2297"/>
      <c r="CX207" s="2297"/>
      <c r="CY207" s="2297"/>
      <c r="CZ207" s="2297"/>
      <c r="DA207" s="2297"/>
      <c r="DB207" s="2297"/>
      <c r="DC207" s="2297"/>
      <c r="DD207" s="2297"/>
      <c r="DE207" s="2297"/>
      <c r="DF207" s="2297"/>
      <c r="DG207" s="2297"/>
      <c r="DH207" s="2297"/>
      <c r="DI207" s="2297"/>
      <c r="DJ207" s="2297"/>
      <c r="DK207" s="2297"/>
      <c r="DL207" s="2297"/>
      <c r="DM207" s="2297"/>
      <c r="DN207" s="2297"/>
      <c r="DO207" s="2297"/>
      <c r="DP207" s="2297"/>
      <c r="DQ207" s="2297"/>
      <c r="DR207" s="2297"/>
      <c r="DS207" s="2297"/>
      <c r="DT207" s="2297"/>
      <c r="DU207" s="2297"/>
      <c r="DV207" s="2297"/>
      <c r="DW207" s="2297"/>
      <c r="DX207" s="2297"/>
      <c r="DY207" s="2297"/>
      <c r="DZ207" s="2297"/>
      <c r="EA207" s="2297"/>
      <c r="EB207" s="2297"/>
      <c r="EC207" s="2297"/>
      <c r="ED207" s="2297"/>
      <c r="EE207" s="2297"/>
      <c r="EF207" s="2297"/>
      <c r="EG207" s="2297"/>
      <c r="EH207" s="2297"/>
      <c r="EI207" s="2297"/>
      <c r="EJ207" s="2297"/>
      <c r="EK207" s="2297"/>
      <c r="EL207" s="2297"/>
      <c r="EM207" s="2297"/>
      <c r="EN207" s="2297"/>
      <c r="EO207" s="2297"/>
      <c r="EP207" s="2297"/>
      <c r="EQ207" s="2297"/>
      <c r="ER207" s="2297"/>
      <c r="ES207" s="2297"/>
      <c r="ET207" s="2297"/>
      <c r="EU207" s="2297"/>
      <c r="EV207" s="2297"/>
      <c r="EW207" s="2297"/>
      <c r="EX207" s="2297"/>
      <c r="EY207" s="2297"/>
      <c r="EZ207" s="2297"/>
      <c r="FA207" s="2297"/>
      <c r="FB207" s="2297"/>
      <c r="FC207" s="2297"/>
      <c r="FD207" s="2297"/>
      <c r="FE207" s="2297"/>
      <c r="FF207" s="2297"/>
      <c r="FG207" s="2297"/>
      <c r="FH207" s="2297"/>
      <c r="FI207" s="2297"/>
      <c r="FJ207" s="2297"/>
      <c r="FK207" s="2297"/>
      <c r="FL207" s="2297"/>
      <c r="FM207" s="2297"/>
      <c r="FN207" s="2297"/>
      <c r="FO207" s="2297"/>
      <c r="FP207" s="2297"/>
      <c r="FQ207" s="2297"/>
      <c r="FR207" s="2297"/>
      <c r="FS207" s="2297"/>
      <c r="FT207" s="2297"/>
      <c r="FU207" s="2297"/>
      <c r="FV207" s="2297"/>
      <c r="FW207" s="2297"/>
      <c r="FX207" s="2297"/>
      <c r="FY207" s="2297"/>
      <c r="FZ207" s="2297"/>
      <c r="GA207" s="2297"/>
      <c r="GB207" s="2297"/>
      <c r="GC207" s="2297"/>
      <c r="GD207" s="2297"/>
      <c r="GE207" s="2297"/>
      <c r="GF207" s="2297"/>
      <c r="GG207" s="2297"/>
      <c r="GH207" s="2297"/>
      <c r="GI207" s="2297"/>
      <c r="GJ207" s="2297"/>
      <c r="GK207" s="2297"/>
      <c r="GL207" s="2297"/>
      <c r="GM207" s="2297"/>
      <c r="GN207" s="2297"/>
      <c r="GO207" s="2297"/>
      <c r="GP207" s="2297"/>
      <c r="GQ207" s="2297"/>
      <c r="GR207" s="2297"/>
      <c r="GS207" s="2297"/>
      <c r="GT207" s="2297"/>
      <c r="GU207" s="2297"/>
      <c r="GV207" s="2297"/>
      <c r="GW207" s="2297"/>
      <c r="GX207" s="2297"/>
      <c r="GY207" s="2297"/>
      <c r="GZ207" s="2297"/>
      <c r="HA207" s="2297"/>
      <c r="HB207" s="2297"/>
      <c r="HC207" s="2297"/>
      <c r="HD207" s="2297"/>
      <c r="HE207" s="2297"/>
      <c r="HF207" s="2297"/>
      <c r="HG207" s="2297"/>
      <c r="HH207" s="2297"/>
      <c r="HI207" s="2297"/>
      <c r="HJ207" s="2297"/>
      <c r="HK207" s="2297"/>
      <c r="HL207" s="2297"/>
      <c r="HM207" s="2297"/>
      <c r="HN207" s="2297"/>
      <c r="HO207" s="2297"/>
      <c r="HP207" s="2297"/>
      <c r="HQ207" s="2297"/>
      <c r="HR207" s="2297"/>
      <c r="HS207" s="2297"/>
      <c r="HT207" s="2297"/>
      <c r="HU207" s="2297"/>
      <c r="HV207" s="2297"/>
      <c r="HW207" s="2297"/>
      <c r="HX207" s="2297"/>
      <c r="HY207" s="2297"/>
      <c r="HZ207" s="2297"/>
      <c r="IA207" s="2297"/>
      <c r="IB207" s="2297"/>
      <c r="IC207" s="2297"/>
      <c r="ID207" s="2297"/>
      <c r="IE207" s="2297"/>
      <c r="IF207" s="2297"/>
      <c r="IG207" s="2297"/>
      <c r="IH207" s="2297"/>
      <c r="II207" s="2297"/>
      <c r="IJ207" s="2297"/>
      <c r="IK207" s="2297"/>
      <c r="IL207" s="2297"/>
      <c r="IM207" s="2297"/>
      <c r="IN207" s="2297"/>
      <c r="IO207" s="2297"/>
      <c r="IP207" s="2297"/>
      <c r="IQ207" s="2297"/>
      <c r="IR207" s="2297"/>
      <c r="IS207" s="2297"/>
      <c r="IT207" s="2297"/>
      <c r="IU207" s="2297"/>
      <c r="IV207" s="2297"/>
    </row>
    <row r="208" spans="3:256">
      <c r="C208" s="2298"/>
      <c r="D208" s="2298"/>
      <c r="E208" s="2298"/>
      <c r="F208" s="2298"/>
      <c r="G208" s="2298"/>
      <c r="H208" s="2298"/>
      <c r="AC208" s="2297"/>
      <c r="AD208" s="2297"/>
      <c r="AE208" s="2297"/>
      <c r="AF208" s="2297"/>
      <c r="AG208" s="2297"/>
      <c r="AH208" s="2297"/>
      <c r="AI208" s="2297"/>
      <c r="AJ208" s="2297"/>
      <c r="AK208" s="2297"/>
      <c r="AL208" s="2297"/>
      <c r="AM208" s="2297"/>
      <c r="AN208" s="2297"/>
      <c r="AO208" s="2297"/>
      <c r="AP208" s="2297"/>
      <c r="AQ208" s="2297"/>
      <c r="AR208" s="2297"/>
      <c r="AS208" s="2297"/>
      <c r="AT208" s="2297"/>
      <c r="AU208" s="2297"/>
      <c r="AV208" s="2297"/>
      <c r="AW208" s="2297"/>
      <c r="AX208" s="2297"/>
      <c r="AY208" s="2297"/>
      <c r="AZ208" s="2297"/>
      <c r="BA208" s="2297"/>
      <c r="BB208" s="2297"/>
      <c r="BC208" s="2297"/>
      <c r="BD208" s="2297"/>
      <c r="BE208" s="2297"/>
      <c r="BF208" s="2297"/>
      <c r="BG208" s="2297"/>
      <c r="BH208" s="2297"/>
      <c r="BI208" s="2297"/>
      <c r="BJ208" s="2297"/>
      <c r="BK208" s="2297"/>
      <c r="BL208" s="2297"/>
      <c r="BM208" s="2297"/>
      <c r="BN208" s="2297"/>
      <c r="BO208" s="2297"/>
      <c r="BP208" s="2297"/>
      <c r="BQ208" s="2297"/>
      <c r="BR208" s="2297"/>
      <c r="BS208" s="2297"/>
      <c r="BT208" s="2297"/>
      <c r="BU208" s="2297"/>
      <c r="BV208" s="2297"/>
      <c r="BW208" s="2297"/>
      <c r="BX208" s="2297"/>
      <c r="BY208" s="2297"/>
      <c r="BZ208" s="2297"/>
      <c r="CA208" s="2297"/>
      <c r="CB208" s="2297"/>
      <c r="CC208" s="2297"/>
      <c r="CD208" s="2297"/>
      <c r="CE208" s="2297"/>
      <c r="CF208" s="2297"/>
      <c r="CG208" s="2297"/>
      <c r="CH208" s="2297"/>
      <c r="CI208" s="2297"/>
      <c r="CJ208" s="2297"/>
      <c r="CK208" s="2297"/>
      <c r="CL208" s="2297"/>
      <c r="CM208" s="2297"/>
      <c r="CN208" s="2297"/>
      <c r="CO208" s="2297"/>
      <c r="CP208" s="2297"/>
      <c r="CQ208" s="2297"/>
      <c r="CR208" s="2297"/>
      <c r="CS208" s="2297"/>
      <c r="CT208" s="2297"/>
      <c r="CU208" s="2297"/>
      <c r="CV208" s="2297"/>
      <c r="CW208" s="2297"/>
      <c r="CX208" s="2297"/>
      <c r="CY208" s="2297"/>
      <c r="CZ208" s="2297"/>
      <c r="DA208" s="2297"/>
      <c r="DB208" s="2297"/>
      <c r="DC208" s="2297"/>
      <c r="DD208" s="2297"/>
      <c r="DE208" s="2297"/>
      <c r="DF208" s="2297"/>
      <c r="DG208" s="2297"/>
      <c r="DH208" s="2297"/>
      <c r="DI208" s="2297"/>
      <c r="DJ208" s="2297"/>
      <c r="DK208" s="2297"/>
      <c r="DL208" s="2297"/>
      <c r="DM208" s="2297"/>
      <c r="DN208" s="2297"/>
      <c r="DO208" s="2297"/>
      <c r="DP208" s="2297"/>
      <c r="DQ208" s="2297"/>
      <c r="DR208" s="2297"/>
      <c r="DS208" s="2297"/>
      <c r="DT208" s="2297"/>
      <c r="DU208" s="2297"/>
      <c r="DV208" s="2297"/>
      <c r="DW208" s="2297"/>
      <c r="DX208" s="2297"/>
      <c r="DY208" s="2297"/>
      <c r="DZ208" s="2297"/>
      <c r="EA208" s="2297"/>
      <c r="EB208" s="2297"/>
      <c r="EC208" s="2297"/>
      <c r="ED208" s="2297"/>
      <c r="EE208" s="2297"/>
      <c r="EF208" s="2297"/>
      <c r="EG208" s="2297"/>
      <c r="EH208" s="2297"/>
      <c r="EI208" s="2297"/>
      <c r="EJ208" s="2297"/>
      <c r="EK208" s="2297"/>
      <c r="EL208" s="2297"/>
      <c r="EM208" s="2297"/>
      <c r="EN208" s="2297"/>
      <c r="EO208" s="2297"/>
      <c r="EP208" s="2297"/>
      <c r="EQ208" s="2297"/>
      <c r="ER208" s="2297"/>
      <c r="ES208" s="2297"/>
      <c r="ET208" s="2297"/>
      <c r="EU208" s="2297"/>
      <c r="EV208" s="2297"/>
      <c r="EW208" s="2297"/>
      <c r="EX208" s="2297"/>
      <c r="EY208" s="2297"/>
      <c r="EZ208" s="2297"/>
      <c r="FA208" s="2297"/>
      <c r="FB208" s="2297"/>
      <c r="FC208" s="2297"/>
      <c r="FD208" s="2297"/>
      <c r="FE208" s="2297"/>
      <c r="FF208" s="2297"/>
      <c r="FG208" s="2297"/>
      <c r="FH208" s="2297"/>
      <c r="FI208" s="2297"/>
      <c r="FJ208" s="2297"/>
      <c r="FK208" s="2297"/>
      <c r="FL208" s="2297"/>
      <c r="FM208" s="2297"/>
      <c r="FN208" s="2297"/>
      <c r="FO208" s="2297"/>
      <c r="FP208" s="2297"/>
      <c r="FQ208" s="2297"/>
      <c r="FR208" s="2297"/>
      <c r="FS208" s="2297"/>
      <c r="FT208" s="2297"/>
      <c r="FU208" s="2297"/>
      <c r="FV208" s="2297"/>
      <c r="FW208" s="2297"/>
      <c r="FX208" s="2297"/>
      <c r="FY208" s="2297"/>
      <c r="FZ208" s="2297"/>
      <c r="GA208" s="2297"/>
      <c r="GB208" s="2297"/>
      <c r="GC208" s="2297"/>
      <c r="GD208" s="2297"/>
      <c r="GE208" s="2297"/>
      <c r="GF208" s="2297"/>
      <c r="GG208" s="2297"/>
      <c r="GH208" s="2297"/>
      <c r="GI208" s="2297"/>
      <c r="GJ208" s="2297"/>
      <c r="GK208" s="2297"/>
      <c r="GL208" s="2297"/>
      <c r="GM208" s="2297"/>
      <c r="GN208" s="2297"/>
      <c r="GO208" s="2297"/>
      <c r="GP208" s="2297"/>
      <c r="GQ208" s="2297"/>
      <c r="GR208" s="2297"/>
      <c r="GS208" s="2297"/>
      <c r="GT208" s="2297"/>
      <c r="GU208" s="2297"/>
      <c r="GV208" s="2297"/>
      <c r="GW208" s="2297"/>
      <c r="GX208" s="2297"/>
      <c r="GY208" s="2297"/>
      <c r="GZ208" s="2297"/>
      <c r="HA208" s="2297"/>
      <c r="HB208" s="2297"/>
      <c r="HC208" s="2297"/>
      <c r="HD208" s="2297"/>
      <c r="HE208" s="2297"/>
      <c r="HF208" s="2297"/>
      <c r="HG208" s="2297"/>
      <c r="HH208" s="2297"/>
      <c r="HI208" s="2297"/>
      <c r="HJ208" s="2297"/>
      <c r="HK208" s="2297"/>
      <c r="HL208" s="2297"/>
      <c r="HM208" s="2297"/>
      <c r="HN208" s="2297"/>
      <c r="HO208" s="2297"/>
      <c r="HP208" s="2297"/>
      <c r="HQ208" s="2297"/>
      <c r="HR208" s="2297"/>
      <c r="HS208" s="2297"/>
      <c r="HT208" s="2297"/>
      <c r="HU208" s="2297"/>
      <c r="HV208" s="2297"/>
      <c r="HW208" s="2297"/>
      <c r="HX208" s="2297"/>
      <c r="HY208" s="2297"/>
      <c r="HZ208" s="2297"/>
      <c r="IA208" s="2297"/>
      <c r="IB208" s="2297"/>
      <c r="IC208" s="2297"/>
      <c r="ID208" s="2297"/>
      <c r="IE208" s="2297"/>
      <c r="IF208" s="2297"/>
      <c r="IG208" s="2297"/>
      <c r="IH208" s="2297"/>
      <c r="II208" s="2297"/>
      <c r="IJ208" s="2297"/>
      <c r="IK208" s="2297"/>
      <c r="IL208" s="2297"/>
      <c r="IM208" s="2297"/>
      <c r="IN208" s="2297"/>
      <c r="IO208" s="2297"/>
      <c r="IP208" s="2297"/>
      <c r="IQ208" s="2297"/>
      <c r="IR208" s="2297"/>
      <c r="IS208" s="2297"/>
      <c r="IT208" s="2297"/>
      <c r="IU208" s="2297"/>
      <c r="IV208" s="2297"/>
    </row>
    <row r="209" spans="3:256">
      <c r="C209" s="2298"/>
      <c r="D209" s="2298"/>
      <c r="E209" s="2298"/>
      <c r="F209" s="2298"/>
      <c r="G209" s="2298"/>
      <c r="H209" s="2298"/>
      <c r="AC209" s="2297"/>
      <c r="AD209" s="2297"/>
      <c r="AE209" s="2297"/>
      <c r="AF209" s="2297"/>
      <c r="AG209" s="2297"/>
      <c r="AH209" s="2297"/>
      <c r="AI209" s="2297"/>
      <c r="AJ209" s="2297"/>
      <c r="AK209" s="2297"/>
      <c r="AL209" s="2297"/>
      <c r="AM209" s="2297"/>
      <c r="AN209" s="2297"/>
      <c r="AO209" s="2297"/>
      <c r="AP209" s="2297"/>
      <c r="AQ209" s="2297"/>
      <c r="AR209" s="2297"/>
      <c r="AS209" s="2297"/>
      <c r="AT209" s="2297"/>
      <c r="AU209" s="2297"/>
      <c r="AV209" s="2297"/>
      <c r="AW209" s="2297"/>
      <c r="AX209" s="2297"/>
      <c r="AY209" s="2297"/>
      <c r="AZ209" s="2297"/>
      <c r="BA209" s="2297"/>
      <c r="BB209" s="2297"/>
      <c r="BC209" s="2297"/>
      <c r="BD209" s="2297"/>
      <c r="BE209" s="2297"/>
      <c r="BF209" s="2297"/>
      <c r="BG209" s="2297"/>
      <c r="BH209" s="2297"/>
      <c r="BI209" s="2297"/>
      <c r="BJ209" s="2297"/>
      <c r="BK209" s="2297"/>
      <c r="BL209" s="2297"/>
      <c r="BM209" s="2297"/>
      <c r="BN209" s="2297"/>
      <c r="BO209" s="2297"/>
      <c r="BP209" s="2297"/>
      <c r="BQ209" s="2297"/>
      <c r="BR209" s="2297"/>
      <c r="BS209" s="2297"/>
      <c r="BT209" s="2297"/>
      <c r="BU209" s="2297"/>
      <c r="BV209" s="2297"/>
      <c r="BW209" s="2297"/>
      <c r="BX209" s="2297"/>
      <c r="BY209" s="2297"/>
      <c r="BZ209" s="2297"/>
      <c r="CA209" s="2297"/>
      <c r="CB209" s="2297"/>
      <c r="CC209" s="2297"/>
      <c r="CD209" s="2297"/>
      <c r="CE209" s="2297"/>
      <c r="CF209" s="2297"/>
      <c r="CG209" s="2297"/>
      <c r="CH209" s="2297"/>
      <c r="CI209" s="2297"/>
      <c r="CJ209" s="2297"/>
      <c r="CK209" s="2297"/>
      <c r="CL209" s="2297"/>
      <c r="CM209" s="2297"/>
      <c r="CN209" s="2297"/>
      <c r="CO209" s="2297"/>
      <c r="CP209" s="2297"/>
      <c r="CQ209" s="2297"/>
      <c r="CR209" s="2297"/>
      <c r="CS209" s="2297"/>
      <c r="CT209" s="2297"/>
      <c r="CU209" s="2297"/>
      <c r="CV209" s="2297"/>
      <c r="CW209" s="2297"/>
      <c r="CX209" s="2297"/>
      <c r="CY209" s="2297"/>
      <c r="CZ209" s="2297"/>
      <c r="DA209" s="2297"/>
      <c r="DB209" s="2297"/>
      <c r="DC209" s="2297"/>
      <c r="DD209" s="2297"/>
      <c r="DE209" s="2297"/>
      <c r="DF209" s="2297"/>
      <c r="DG209" s="2297"/>
      <c r="DH209" s="2297"/>
      <c r="DI209" s="2297"/>
      <c r="DJ209" s="2297"/>
      <c r="DK209" s="2297"/>
      <c r="DL209" s="2297"/>
      <c r="DM209" s="2297"/>
      <c r="DN209" s="2297"/>
      <c r="DO209" s="2297"/>
      <c r="DP209" s="2297"/>
      <c r="DQ209" s="2297"/>
      <c r="DR209" s="2297"/>
      <c r="DS209" s="2297"/>
      <c r="DT209" s="2297"/>
      <c r="DU209" s="2297"/>
      <c r="DV209" s="2297"/>
      <c r="DW209" s="2297"/>
      <c r="DX209" s="2297"/>
      <c r="DY209" s="2297"/>
      <c r="DZ209" s="2297"/>
      <c r="EA209" s="2297"/>
      <c r="EB209" s="2297"/>
      <c r="EC209" s="2297"/>
      <c r="ED209" s="2297"/>
      <c r="EE209" s="2297"/>
      <c r="EF209" s="2297"/>
      <c r="EG209" s="2297"/>
      <c r="EH209" s="2297"/>
      <c r="EI209" s="2297"/>
      <c r="EJ209" s="2297"/>
      <c r="EK209" s="2297"/>
      <c r="EL209" s="2297"/>
      <c r="EM209" s="2297"/>
      <c r="EN209" s="2297"/>
      <c r="EO209" s="2297"/>
      <c r="EP209" s="2297"/>
      <c r="EQ209" s="2297"/>
      <c r="ER209" s="2297"/>
      <c r="ES209" s="2297"/>
      <c r="ET209" s="2297"/>
      <c r="EU209" s="2297"/>
      <c r="EV209" s="2297"/>
      <c r="EW209" s="2297"/>
      <c r="EX209" s="2297"/>
      <c r="EY209" s="2297"/>
      <c r="EZ209" s="2297"/>
      <c r="FA209" s="2297"/>
      <c r="FB209" s="2297"/>
      <c r="FC209" s="2297"/>
      <c r="FD209" s="2297"/>
      <c r="FE209" s="2297"/>
      <c r="FF209" s="2297"/>
      <c r="FG209" s="2297"/>
      <c r="FH209" s="2297"/>
      <c r="FI209" s="2297"/>
      <c r="FJ209" s="2297"/>
      <c r="FK209" s="2297"/>
      <c r="FL209" s="2297"/>
      <c r="FM209" s="2297"/>
      <c r="FN209" s="2297"/>
      <c r="FO209" s="2297"/>
      <c r="FP209" s="2297"/>
      <c r="FQ209" s="2297"/>
      <c r="FR209" s="2297"/>
      <c r="FS209" s="2297"/>
      <c r="FT209" s="2297"/>
      <c r="FU209" s="2297"/>
      <c r="FV209" s="2297"/>
      <c r="FW209" s="2297"/>
      <c r="FX209" s="2297"/>
      <c r="FY209" s="2297"/>
      <c r="FZ209" s="2297"/>
      <c r="GA209" s="2297"/>
      <c r="GB209" s="2297"/>
      <c r="GC209" s="2297"/>
      <c r="GD209" s="2297"/>
      <c r="GE209" s="2297"/>
      <c r="GF209" s="2297"/>
      <c r="GG209" s="2297"/>
      <c r="GH209" s="2297"/>
      <c r="GI209" s="2297"/>
      <c r="GJ209" s="2297"/>
      <c r="GK209" s="2297"/>
      <c r="GL209" s="2297"/>
      <c r="GM209" s="2297"/>
      <c r="GN209" s="2297"/>
      <c r="GO209" s="2297"/>
      <c r="GP209" s="2297"/>
      <c r="GQ209" s="2297"/>
      <c r="GR209" s="2297"/>
      <c r="GS209" s="2297"/>
      <c r="GT209" s="2297"/>
      <c r="GU209" s="2297"/>
      <c r="GV209" s="2297"/>
      <c r="GW209" s="2297"/>
      <c r="GX209" s="2297"/>
      <c r="GY209" s="2297"/>
      <c r="GZ209" s="2297"/>
      <c r="HA209" s="2297"/>
      <c r="HB209" s="2297"/>
      <c r="HC209" s="2297"/>
      <c r="HD209" s="2297"/>
      <c r="HE209" s="2297"/>
      <c r="HF209" s="2297"/>
      <c r="HG209" s="2297"/>
      <c r="HH209" s="2297"/>
      <c r="HI209" s="2297"/>
      <c r="HJ209" s="2297"/>
      <c r="HK209" s="2297"/>
      <c r="HL209" s="2297"/>
      <c r="HM209" s="2297"/>
      <c r="HN209" s="2297"/>
      <c r="HO209" s="2297"/>
      <c r="HP209" s="2297"/>
      <c r="HQ209" s="2297"/>
      <c r="HR209" s="2297"/>
      <c r="HS209" s="2297"/>
      <c r="HT209" s="2297"/>
      <c r="HU209" s="2297"/>
      <c r="HV209" s="2297"/>
      <c r="HW209" s="2297"/>
      <c r="HX209" s="2297"/>
      <c r="HY209" s="2297"/>
      <c r="HZ209" s="2297"/>
      <c r="IA209" s="2297"/>
      <c r="IB209" s="2297"/>
      <c r="IC209" s="2297"/>
      <c r="ID209" s="2297"/>
      <c r="IE209" s="2297"/>
      <c r="IF209" s="2297"/>
      <c r="IG209" s="2297"/>
      <c r="IH209" s="2297"/>
      <c r="II209" s="2297"/>
      <c r="IJ209" s="2297"/>
      <c r="IK209" s="2297"/>
      <c r="IL209" s="2297"/>
      <c r="IM209" s="2297"/>
      <c r="IN209" s="2297"/>
      <c r="IO209" s="2297"/>
      <c r="IP209" s="2297"/>
      <c r="IQ209" s="2297"/>
      <c r="IR209" s="2297"/>
      <c r="IS209" s="2297"/>
      <c r="IT209" s="2297"/>
      <c r="IU209" s="2297"/>
      <c r="IV209" s="2297"/>
    </row>
    <row r="210" spans="3:256">
      <c r="C210" s="2298"/>
      <c r="D210" s="2298"/>
      <c r="E210" s="2298"/>
      <c r="F210" s="2298"/>
      <c r="G210" s="2298"/>
      <c r="H210" s="2298"/>
      <c r="AC210" s="2297"/>
      <c r="AD210" s="2297"/>
      <c r="AE210" s="2297"/>
      <c r="AF210" s="2297"/>
      <c r="AG210" s="2297"/>
      <c r="AH210" s="2297"/>
      <c r="AI210" s="2297"/>
      <c r="AJ210" s="2297"/>
      <c r="AK210" s="2297"/>
      <c r="AL210" s="2297"/>
      <c r="AM210" s="2297"/>
      <c r="AN210" s="2297"/>
      <c r="AO210" s="2297"/>
      <c r="AP210" s="2297"/>
      <c r="AQ210" s="2297"/>
      <c r="AR210" s="2297"/>
      <c r="AS210" s="2297"/>
      <c r="AT210" s="2297"/>
      <c r="AU210" s="2297"/>
      <c r="AV210" s="2297"/>
      <c r="AW210" s="2297"/>
      <c r="AX210" s="2297"/>
      <c r="AY210" s="2297"/>
      <c r="AZ210" s="2297"/>
      <c r="BA210" s="2297"/>
      <c r="BB210" s="2297"/>
      <c r="BC210" s="2297"/>
      <c r="BD210" s="2297"/>
      <c r="BE210" s="2297"/>
      <c r="BF210" s="2297"/>
      <c r="BG210" s="2297"/>
      <c r="BH210" s="2297"/>
      <c r="BI210" s="2297"/>
      <c r="BJ210" s="2297"/>
      <c r="BK210" s="2297"/>
      <c r="BL210" s="2297"/>
      <c r="BM210" s="2297"/>
      <c r="BN210" s="2297"/>
      <c r="BO210" s="2297"/>
      <c r="BP210" s="2297"/>
      <c r="BQ210" s="2297"/>
      <c r="BR210" s="2297"/>
      <c r="BS210" s="2297"/>
      <c r="BT210" s="2297"/>
      <c r="BU210" s="2297"/>
      <c r="BV210" s="2297"/>
      <c r="BW210" s="2297"/>
      <c r="BX210" s="2297"/>
      <c r="BY210" s="2297"/>
      <c r="BZ210" s="2297"/>
      <c r="CA210" s="2297"/>
      <c r="CB210" s="2297"/>
      <c r="CC210" s="2297"/>
      <c r="CD210" s="2297"/>
      <c r="CE210" s="2297"/>
      <c r="CF210" s="2297"/>
      <c r="CG210" s="2297"/>
      <c r="CH210" s="2297"/>
      <c r="CI210" s="2297"/>
      <c r="CJ210" s="2297"/>
      <c r="CK210" s="2297"/>
      <c r="CL210" s="2297"/>
      <c r="CM210" s="2297"/>
      <c r="CN210" s="2297"/>
      <c r="CO210" s="2297"/>
      <c r="CP210" s="2297"/>
      <c r="CQ210" s="2297"/>
      <c r="CR210" s="2297"/>
      <c r="CS210" s="2297"/>
      <c r="CT210" s="2297"/>
      <c r="CU210" s="2297"/>
      <c r="CV210" s="2297"/>
      <c r="CW210" s="2297"/>
      <c r="CX210" s="2297"/>
      <c r="CY210" s="2297"/>
      <c r="CZ210" s="2297"/>
      <c r="DA210" s="2297"/>
      <c r="DB210" s="2297"/>
      <c r="DC210" s="2297"/>
      <c r="DD210" s="2297"/>
      <c r="DE210" s="2297"/>
      <c r="DF210" s="2297"/>
      <c r="DG210" s="2297"/>
      <c r="DH210" s="2297"/>
      <c r="DI210" s="2297"/>
      <c r="DJ210" s="2297"/>
      <c r="DK210" s="2297"/>
      <c r="DL210" s="2297"/>
      <c r="DM210" s="2297"/>
      <c r="DN210" s="2297"/>
      <c r="DO210" s="2297"/>
      <c r="DP210" s="2297"/>
      <c r="DQ210" s="2297"/>
      <c r="DR210" s="2297"/>
      <c r="DS210" s="2297"/>
      <c r="DT210" s="2297"/>
      <c r="DU210" s="2297"/>
      <c r="DV210" s="2297"/>
      <c r="DW210" s="2297"/>
      <c r="DX210" s="2297"/>
      <c r="DY210" s="2297"/>
      <c r="DZ210" s="2297"/>
      <c r="EA210" s="2297"/>
      <c r="EB210" s="2297"/>
      <c r="EC210" s="2297"/>
      <c r="ED210" s="2297"/>
      <c r="EE210" s="2297"/>
      <c r="EF210" s="2297"/>
      <c r="EG210" s="2297"/>
      <c r="EH210" s="2297"/>
      <c r="EI210" s="2297"/>
      <c r="EJ210" s="2297"/>
      <c r="EK210" s="2297"/>
      <c r="EL210" s="2297"/>
      <c r="EM210" s="2297"/>
      <c r="EN210" s="2297"/>
      <c r="EO210" s="2297"/>
      <c r="EP210" s="2297"/>
      <c r="EQ210" s="2297"/>
      <c r="ER210" s="2297"/>
      <c r="ES210" s="2297"/>
      <c r="ET210" s="2297"/>
      <c r="EU210" s="2297"/>
      <c r="EV210" s="2297"/>
      <c r="EW210" s="2297"/>
      <c r="EX210" s="2297"/>
      <c r="EY210" s="2297"/>
      <c r="EZ210" s="2297"/>
      <c r="FA210" s="2297"/>
      <c r="FB210" s="2297"/>
      <c r="FC210" s="2297"/>
      <c r="FD210" s="2297"/>
      <c r="FE210" s="2297"/>
      <c r="FF210" s="2297"/>
      <c r="FG210" s="2297"/>
      <c r="FH210" s="2297"/>
      <c r="FI210" s="2297"/>
      <c r="FJ210" s="2297"/>
      <c r="FK210" s="2297"/>
      <c r="FL210" s="2297"/>
      <c r="FM210" s="2297"/>
      <c r="FN210" s="2297"/>
      <c r="FO210" s="2297"/>
      <c r="FP210" s="2297"/>
      <c r="FQ210" s="2297"/>
      <c r="FR210" s="2297"/>
      <c r="FS210" s="2297"/>
      <c r="FT210" s="2297"/>
      <c r="FU210" s="2297"/>
      <c r="FV210" s="2297"/>
      <c r="FW210" s="2297"/>
      <c r="FX210" s="2297"/>
      <c r="FY210" s="2297"/>
      <c r="FZ210" s="2297"/>
      <c r="GA210" s="2297"/>
      <c r="GB210" s="2297"/>
      <c r="GC210" s="2297"/>
      <c r="GD210" s="2297"/>
      <c r="GE210" s="2297"/>
      <c r="GF210" s="2297"/>
      <c r="GG210" s="2297"/>
      <c r="GH210" s="2297"/>
      <c r="GI210" s="2297"/>
      <c r="GJ210" s="2297"/>
      <c r="GK210" s="2297"/>
      <c r="GL210" s="2297"/>
      <c r="GM210" s="2297"/>
      <c r="GN210" s="2297"/>
      <c r="GO210" s="2297"/>
      <c r="GP210" s="2297"/>
      <c r="GQ210" s="2297"/>
      <c r="GR210" s="2297"/>
      <c r="GS210" s="2297"/>
      <c r="GT210" s="2297"/>
      <c r="GU210" s="2297"/>
      <c r="GV210" s="2297"/>
      <c r="GW210" s="2297"/>
      <c r="GX210" s="2297"/>
      <c r="GY210" s="2297"/>
      <c r="GZ210" s="2297"/>
      <c r="HA210" s="2297"/>
      <c r="HB210" s="2297"/>
      <c r="HC210" s="2297"/>
      <c r="HD210" s="2297"/>
      <c r="HE210" s="2297"/>
      <c r="HF210" s="2297"/>
      <c r="HG210" s="2297"/>
      <c r="HH210" s="2297"/>
      <c r="HI210" s="2297"/>
      <c r="HJ210" s="2297"/>
      <c r="HK210" s="2297"/>
      <c r="HL210" s="2297"/>
      <c r="HM210" s="2297"/>
      <c r="HN210" s="2297"/>
      <c r="HO210" s="2297"/>
      <c r="HP210" s="2297"/>
      <c r="HQ210" s="2297"/>
      <c r="HR210" s="2297"/>
      <c r="HS210" s="2297"/>
      <c r="HT210" s="2297"/>
      <c r="HU210" s="2297"/>
      <c r="HV210" s="2297"/>
      <c r="HW210" s="2297"/>
      <c r="HX210" s="2297"/>
      <c r="HY210" s="2297"/>
      <c r="HZ210" s="2297"/>
      <c r="IA210" s="2297"/>
      <c r="IB210" s="2297"/>
      <c r="IC210" s="2297"/>
      <c r="ID210" s="2297"/>
      <c r="IE210" s="2297"/>
      <c r="IF210" s="2297"/>
      <c r="IG210" s="2297"/>
      <c r="IH210" s="2297"/>
      <c r="II210" s="2297"/>
      <c r="IJ210" s="2297"/>
      <c r="IK210" s="2297"/>
      <c r="IL210" s="2297"/>
      <c r="IM210" s="2297"/>
      <c r="IN210" s="2297"/>
      <c r="IO210" s="2297"/>
      <c r="IP210" s="2297"/>
      <c r="IQ210" s="2297"/>
      <c r="IR210" s="2297"/>
      <c r="IS210" s="2297"/>
      <c r="IT210" s="2297"/>
      <c r="IU210" s="2297"/>
      <c r="IV210" s="2297"/>
    </row>
    <row r="211" spans="3:256">
      <c r="C211" s="2298"/>
      <c r="D211" s="2298"/>
      <c r="E211" s="2298"/>
      <c r="F211" s="2298"/>
      <c r="G211" s="2298"/>
      <c r="H211" s="2298"/>
      <c r="AC211" s="2297"/>
      <c r="AD211" s="2297"/>
      <c r="AE211" s="2297"/>
      <c r="AF211" s="2297"/>
      <c r="AG211" s="2297"/>
      <c r="AH211" s="2297"/>
      <c r="AI211" s="2297"/>
      <c r="AJ211" s="2297"/>
      <c r="AK211" s="2297"/>
      <c r="AL211" s="2297"/>
      <c r="AM211" s="2297"/>
      <c r="AN211" s="2297"/>
      <c r="AO211" s="2297"/>
      <c r="AP211" s="2297"/>
      <c r="AQ211" s="2297"/>
      <c r="AR211" s="2297"/>
      <c r="AS211" s="2297"/>
      <c r="AT211" s="2297"/>
      <c r="AU211" s="2297"/>
      <c r="AV211" s="2297"/>
      <c r="AW211" s="2297"/>
      <c r="AX211" s="2297"/>
      <c r="AY211" s="2297"/>
      <c r="AZ211" s="2297"/>
      <c r="BA211" s="2297"/>
      <c r="BB211" s="2297"/>
      <c r="BC211" s="2297"/>
      <c r="BD211" s="2297"/>
      <c r="BE211" s="2297"/>
      <c r="BF211" s="2297"/>
      <c r="BG211" s="2297"/>
      <c r="BH211" s="2297"/>
      <c r="BI211" s="2297"/>
      <c r="BJ211" s="2297"/>
      <c r="BK211" s="2297"/>
      <c r="BL211" s="2297"/>
      <c r="BM211" s="2297"/>
      <c r="BN211" s="2297"/>
      <c r="BO211" s="2297"/>
      <c r="BP211" s="2297"/>
      <c r="BQ211" s="2297"/>
      <c r="BR211" s="2297"/>
      <c r="BS211" s="2297"/>
      <c r="BT211" s="2297"/>
      <c r="BU211" s="2297"/>
      <c r="BV211" s="2297"/>
      <c r="BW211" s="2297"/>
      <c r="BX211" s="2297"/>
      <c r="BY211" s="2297"/>
      <c r="BZ211" s="2297"/>
      <c r="CA211" s="2297"/>
      <c r="CB211" s="2297"/>
      <c r="CC211" s="2297"/>
      <c r="CD211" s="2297"/>
      <c r="CE211" s="2297"/>
      <c r="CF211" s="2297"/>
      <c r="CG211" s="2297"/>
      <c r="CH211" s="2297"/>
      <c r="CI211" s="2297"/>
      <c r="CJ211" s="2297"/>
      <c r="CK211" s="2297"/>
      <c r="CL211" s="2297"/>
      <c r="CM211" s="2297"/>
      <c r="CN211" s="2297"/>
      <c r="CO211" s="2297"/>
      <c r="CP211" s="2297"/>
      <c r="CQ211" s="2297"/>
      <c r="CR211" s="2297"/>
      <c r="CS211" s="2297"/>
      <c r="CT211" s="2297"/>
      <c r="CU211" s="2297"/>
      <c r="CV211" s="2297"/>
      <c r="CW211" s="2297"/>
      <c r="CX211" s="2297"/>
      <c r="CY211" s="2297"/>
      <c r="CZ211" s="2297"/>
      <c r="DA211" s="2297"/>
      <c r="DB211" s="2297"/>
      <c r="DC211" s="2297"/>
      <c r="DD211" s="2297"/>
      <c r="DE211" s="2297"/>
      <c r="DF211" s="2297"/>
      <c r="DG211" s="2297"/>
      <c r="DH211" s="2297"/>
      <c r="DI211" s="2297"/>
      <c r="DJ211" s="2297"/>
      <c r="DK211" s="2297"/>
      <c r="DL211" s="2297"/>
      <c r="DM211" s="2297"/>
      <c r="DN211" s="2297"/>
      <c r="DO211" s="2297"/>
      <c r="DP211" s="2297"/>
      <c r="DQ211" s="2297"/>
      <c r="DR211" s="2297"/>
      <c r="DS211" s="2297"/>
      <c r="DT211" s="2297"/>
      <c r="DU211" s="2297"/>
      <c r="DV211" s="2297"/>
      <c r="DW211" s="2297"/>
      <c r="DX211" s="2297"/>
      <c r="DY211" s="2297"/>
      <c r="DZ211" s="2297"/>
      <c r="EA211" s="2297"/>
      <c r="EB211" s="2297"/>
      <c r="EC211" s="2297"/>
      <c r="ED211" s="2297"/>
      <c r="EE211" s="2297"/>
      <c r="EF211" s="2297"/>
      <c r="EG211" s="2297"/>
      <c r="EH211" s="2297"/>
      <c r="EI211" s="2297"/>
      <c r="EJ211" s="2297"/>
      <c r="EK211" s="2297"/>
      <c r="EL211" s="2297"/>
      <c r="EM211" s="2297"/>
      <c r="EN211" s="2297"/>
      <c r="EO211" s="2297"/>
      <c r="EP211" s="2297"/>
      <c r="EQ211" s="2297"/>
      <c r="ER211" s="2297"/>
      <c r="ES211" s="2297"/>
      <c r="ET211" s="2297"/>
      <c r="EU211" s="2297"/>
      <c r="EV211" s="2297"/>
      <c r="EW211" s="2297"/>
      <c r="EX211" s="2297"/>
      <c r="EY211" s="2297"/>
      <c r="EZ211" s="2297"/>
      <c r="FA211" s="2297"/>
      <c r="FB211" s="2297"/>
      <c r="FC211" s="2297"/>
      <c r="FD211" s="2297"/>
      <c r="FE211" s="2297"/>
      <c r="FF211" s="2297"/>
      <c r="FG211" s="2297"/>
      <c r="FH211" s="2297"/>
      <c r="FI211" s="2297"/>
      <c r="FJ211" s="2297"/>
      <c r="FK211" s="2297"/>
      <c r="FL211" s="2297"/>
      <c r="FM211" s="2297"/>
      <c r="FN211" s="2297"/>
      <c r="FO211" s="2297"/>
      <c r="FP211" s="2297"/>
      <c r="FQ211" s="2297"/>
      <c r="FR211" s="2297"/>
      <c r="FS211" s="2297"/>
      <c r="FT211" s="2297"/>
      <c r="FU211" s="2297"/>
      <c r="FV211" s="2297"/>
      <c r="FW211" s="2297"/>
      <c r="FX211" s="2297"/>
      <c r="FY211" s="2297"/>
      <c r="FZ211" s="2297"/>
      <c r="GA211" s="2297"/>
      <c r="GB211" s="2297"/>
      <c r="GC211" s="2297"/>
      <c r="GD211" s="2297"/>
      <c r="GE211" s="2297"/>
      <c r="GF211" s="2297"/>
      <c r="GG211" s="2297"/>
      <c r="GH211" s="2297"/>
      <c r="GI211" s="2297"/>
      <c r="GJ211" s="2297"/>
      <c r="GK211" s="2297"/>
      <c r="GL211" s="2297"/>
      <c r="GM211" s="2297"/>
      <c r="GN211" s="2297"/>
      <c r="GO211" s="2297"/>
      <c r="GP211" s="2297"/>
      <c r="GQ211" s="2297"/>
      <c r="GR211" s="2297"/>
      <c r="GS211" s="2297"/>
      <c r="GT211" s="2297"/>
      <c r="GU211" s="2297"/>
      <c r="GV211" s="2297"/>
      <c r="GW211" s="2297"/>
      <c r="GX211" s="2297"/>
      <c r="GY211" s="2297"/>
      <c r="GZ211" s="2297"/>
      <c r="HA211" s="2297"/>
      <c r="HB211" s="2297"/>
      <c r="HC211" s="2297"/>
      <c r="HD211" s="2297"/>
      <c r="HE211" s="2297"/>
      <c r="HF211" s="2297"/>
      <c r="HG211" s="2297"/>
      <c r="HH211" s="2297"/>
      <c r="HI211" s="2297"/>
      <c r="HJ211" s="2297"/>
      <c r="HK211" s="2297"/>
      <c r="HL211" s="2297"/>
      <c r="HM211" s="2297"/>
      <c r="HN211" s="2297"/>
      <c r="HO211" s="2297"/>
      <c r="HP211" s="2297"/>
      <c r="HQ211" s="2297"/>
      <c r="HR211" s="2297"/>
      <c r="HS211" s="2297"/>
      <c r="HT211" s="2297"/>
      <c r="HU211" s="2297"/>
      <c r="HV211" s="2297"/>
      <c r="HW211" s="2297"/>
      <c r="HX211" s="2297"/>
      <c r="HY211" s="2297"/>
      <c r="HZ211" s="2297"/>
      <c r="IA211" s="2297"/>
      <c r="IB211" s="2297"/>
      <c r="IC211" s="2297"/>
      <c r="ID211" s="2297"/>
      <c r="IE211" s="2297"/>
      <c r="IF211" s="2297"/>
      <c r="IG211" s="2297"/>
      <c r="IH211" s="2297"/>
      <c r="II211" s="2297"/>
      <c r="IJ211" s="2297"/>
      <c r="IK211" s="2297"/>
      <c r="IL211" s="2297"/>
      <c r="IM211" s="2297"/>
      <c r="IN211" s="2297"/>
      <c r="IO211" s="2297"/>
      <c r="IP211" s="2297"/>
      <c r="IQ211" s="2297"/>
      <c r="IR211" s="2297"/>
      <c r="IS211" s="2297"/>
      <c r="IT211" s="2297"/>
      <c r="IU211" s="2297"/>
      <c r="IV211" s="2297"/>
    </row>
    <row r="212" spans="3:256">
      <c r="C212" s="2298"/>
      <c r="D212" s="2298"/>
      <c r="E212" s="2298"/>
      <c r="F212" s="2298"/>
      <c r="G212" s="2298"/>
      <c r="H212" s="2298"/>
      <c r="AC212" s="2297"/>
      <c r="AD212" s="2297"/>
      <c r="AE212" s="2297"/>
      <c r="AF212" s="2297"/>
      <c r="AG212" s="2297"/>
      <c r="AH212" s="2297"/>
      <c r="AI212" s="2297"/>
      <c r="AJ212" s="2297"/>
      <c r="AK212" s="2297"/>
      <c r="AL212" s="2297"/>
      <c r="AM212" s="2297"/>
      <c r="AN212" s="2297"/>
      <c r="AO212" s="2297"/>
      <c r="AP212" s="2297"/>
      <c r="AQ212" s="2297"/>
      <c r="AR212" s="2297"/>
      <c r="AS212" s="2297"/>
      <c r="AT212" s="2297"/>
      <c r="AU212" s="2297"/>
      <c r="AV212" s="2297"/>
      <c r="AW212" s="2297"/>
      <c r="AX212" s="2297"/>
      <c r="AY212" s="2297"/>
      <c r="AZ212" s="2297"/>
      <c r="BA212" s="2297"/>
      <c r="BB212" s="2297"/>
      <c r="BC212" s="2297"/>
      <c r="BD212" s="2297"/>
      <c r="BE212" s="2297"/>
      <c r="BF212" s="2297"/>
      <c r="BG212" s="2297"/>
      <c r="BH212" s="2297"/>
      <c r="BI212" s="2297"/>
      <c r="BJ212" s="2297"/>
      <c r="BK212" s="2297"/>
      <c r="BL212" s="2297"/>
      <c r="BM212" s="2297"/>
      <c r="BN212" s="2297"/>
      <c r="BO212" s="2297"/>
      <c r="BP212" s="2297"/>
      <c r="BQ212" s="2297"/>
      <c r="BR212" s="2297"/>
      <c r="BS212" s="2297"/>
      <c r="BT212" s="2297"/>
      <c r="BU212" s="2297"/>
      <c r="BV212" s="2297"/>
      <c r="BW212" s="2297"/>
      <c r="BX212" s="2297"/>
      <c r="BY212" s="2297"/>
      <c r="BZ212" s="2297"/>
      <c r="CA212" s="2297"/>
      <c r="CB212" s="2297"/>
      <c r="CC212" s="2297"/>
      <c r="CD212" s="2297"/>
      <c r="CE212" s="2297"/>
      <c r="CF212" s="2297"/>
      <c r="CG212" s="2297"/>
      <c r="CH212" s="2297"/>
      <c r="CI212" s="2297"/>
      <c r="CJ212" s="2297"/>
      <c r="CK212" s="2297"/>
      <c r="CL212" s="2297"/>
      <c r="CM212" s="2297"/>
      <c r="CN212" s="2297"/>
      <c r="CO212" s="2297"/>
      <c r="CP212" s="2297"/>
      <c r="CQ212" s="2297"/>
      <c r="CR212" s="2297"/>
      <c r="CS212" s="2297"/>
      <c r="CT212" s="2297"/>
      <c r="CU212" s="2297"/>
      <c r="CV212" s="2297"/>
      <c r="CW212" s="2297"/>
      <c r="CX212" s="2297"/>
      <c r="CY212" s="2297"/>
      <c r="CZ212" s="2297"/>
      <c r="DA212" s="2297"/>
      <c r="DB212" s="2297"/>
      <c r="DC212" s="2297"/>
      <c r="DD212" s="2297"/>
      <c r="DE212" s="2297"/>
      <c r="DF212" s="2297"/>
      <c r="DG212" s="2297"/>
      <c r="DH212" s="2297"/>
      <c r="DI212" s="2297"/>
      <c r="DJ212" s="2297"/>
      <c r="DK212" s="2297"/>
      <c r="DL212" s="2297"/>
      <c r="DM212" s="2297"/>
      <c r="DN212" s="2297"/>
      <c r="DO212" s="2297"/>
      <c r="DP212" s="2297"/>
      <c r="DQ212" s="2297"/>
      <c r="DR212" s="2297"/>
      <c r="DS212" s="2297"/>
      <c r="DT212" s="2297"/>
      <c r="DU212" s="2297"/>
      <c r="DV212" s="2297"/>
      <c r="DW212" s="2297"/>
      <c r="DX212" s="2297"/>
      <c r="DY212" s="2297"/>
      <c r="DZ212" s="2297"/>
      <c r="EA212" s="2297"/>
      <c r="EB212" s="2297"/>
      <c r="EC212" s="2297"/>
      <c r="ED212" s="2297"/>
      <c r="EE212" s="2297"/>
      <c r="EF212" s="2297"/>
      <c r="EG212" s="2297"/>
      <c r="EH212" s="2297"/>
      <c r="EI212" s="2297"/>
      <c r="EJ212" s="2297"/>
      <c r="EK212" s="2297"/>
      <c r="EL212" s="2297"/>
      <c r="EM212" s="2297"/>
      <c r="EN212" s="2297"/>
      <c r="EO212" s="2297"/>
      <c r="EP212" s="2297"/>
      <c r="EQ212" s="2297"/>
      <c r="ER212" s="2297"/>
      <c r="ES212" s="2297"/>
      <c r="ET212" s="2297"/>
      <c r="EU212" s="2297"/>
      <c r="EV212" s="2297"/>
      <c r="EW212" s="2297"/>
      <c r="EX212" s="2297"/>
      <c r="EY212" s="2297"/>
      <c r="EZ212" s="2297"/>
      <c r="FA212" s="2297"/>
      <c r="FB212" s="2297"/>
      <c r="FC212" s="2297"/>
      <c r="FD212" s="2297"/>
      <c r="FE212" s="2297"/>
      <c r="FF212" s="2297"/>
      <c r="FG212" s="2297"/>
      <c r="FH212" s="2297"/>
      <c r="FI212" s="2297"/>
      <c r="FJ212" s="2297"/>
      <c r="FK212" s="2297"/>
      <c r="FL212" s="2297"/>
      <c r="FM212" s="2297"/>
      <c r="FN212" s="2297"/>
      <c r="FO212" s="2297"/>
      <c r="FP212" s="2297"/>
      <c r="FQ212" s="2297"/>
      <c r="FR212" s="2297"/>
      <c r="FS212" s="2297"/>
      <c r="FT212" s="2297"/>
      <c r="FU212" s="2297"/>
      <c r="FV212" s="2297"/>
      <c r="FW212" s="2297"/>
      <c r="FX212" s="2297"/>
      <c r="FY212" s="2297"/>
      <c r="FZ212" s="2297"/>
      <c r="GA212" s="2297"/>
      <c r="GB212" s="2297"/>
      <c r="GC212" s="2297"/>
      <c r="GD212" s="2297"/>
      <c r="GE212" s="2297"/>
      <c r="GF212" s="2297"/>
      <c r="GG212" s="2297"/>
      <c r="GH212" s="2297"/>
      <c r="GI212" s="2297"/>
      <c r="GJ212" s="2297"/>
      <c r="GK212" s="2297"/>
      <c r="GL212" s="2297"/>
      <c r="GM212" s="2297"/>
      <c r="GN212" s="2297"/>
      <c r="GO212" s="2297"/>
      <c r="GP212" s="2297"/>
      <c r="GQ212" s="2297"/>
      <c r="GR212" s="2297"/>
      <c r="GS212" s="2297"/>
      <c r="GT212" s="2297"/>
      <c r="GU212" s="2297"/>
      <c r="GV212" s="2297"/>
      <c r="GW212" s="2297"/>
      <c r="GX212" s="2297"/>
      <c r="GY212" s="2297"/>
      <c r="GZ212" s="2297"/>
      <c r="HA212" s="2297"/>
      <c r="HB212" s="2297"/>
      <c r="HC212" s="2297"/>
      <c r="HD212" s="2297"/>
      <c r="HE212" s="2297"/>
      <c r="HF212" s="2297"/>
      <c r="HG212" s="2297"/>
      <c r="HH212" s="2297"/>
      <c r="HI212" s="2297"/>
      <c r="HJ212" s="2297"/>
      <c r="HK212" s="2297"/>
      <c r="HL212" s="2297"/>
      <c r="HM212" s="2297"/>
      <c r="HN212" s="2297"/>
      <c r="HO212" s="2297"/>
      <c r="HP212" s="2297"/>
      <c r="HQ212" s="2297"/>
      <c r="HR212" s="2297"/>
      <c r="HS212" s="2297"/>
      <c r="HT212" s="2297"/>
      <c r="HU212" s="2297"/>
      <c r="HV212" s="2297"/>
      <c r="HW212" s="2297"/>
      <c r="HX212" s="2297"/>
      <c r="HY212" s="2297"/>
      <c r="HZ212" s="2297"/>
      <c r="IA212" s="2297"/>
      <c r="IB212" s="2297"/>
      <c r="IC212" s="2297"/>
      <c r="ID212" s="2297"/>
      <c r="IE212" s="2297"/>
      <c r="IF212" s="2297"/>
      <c r="IG212" s="2297"/>
      <c r="IH212" s="2297"/>
      <c r="II212" s="2297"/>
      <c r="IJ212" s="2297"/>
      <c r="IK212" s="2297"/>
      <c r="IL212" s="2297"/>
      <c r="IM212" s="2297"/>
      <c r="IN212" s="2297"/>
      <c r="IO212" s="2297"/>
      <c r="IP212" s="2297"/>
      <c r="IQ212" s="2297"/>
      <c r="IR212" s="2297"/>
      <c r="IS212" s="2297"/>
      <c r="IT212" s="2297"/>
      <c r="IU212" s="2297"/>
      <c r="IV212" s="2297"/>
    </row>
    <row r="213" spans="3:256">
      <c r="C213" s="2298"/>
      <c r="D213" s="2298"/>
      <c r="E213" s="2298"/>
      <c r="F213" s="2298"/>
      <c r="G213" s="2298"/>
      <c r="H213" s="2298"/>
      <c r="AC213" s="2297"/>
      <c r="AD213" s="2297"/>
      <c r="AE213" s="2297"/>
      <c r="AF213" s="2297"/>
      <c r="AG213" s="2297"/>
      <c r="AH213" s="2297"/>
      <c r="AI213" s="2297"/>
      <c r="AJ213" s="2297"/>
      <c r="AK213" s="2297"/>
      <c r="AL213" s="2297"/>
      <c r="AM213" s="2297"/>
      <c r="AN213" s="2297"/>
      <c r="AO213" s="2297"/>
      <c r="AP213" s="2297"/>
      <c r="AQ213" s="2297"/>
      <c r="AR213" s="2297"/>
      <c r="AS213" s="2297"/>
      <c r="AT213" s="2297"/>
      <c r="AU213" s="2297"/>
      <c r="AV213" s="2297"/>
      <c r="AW213" s="2297"/>
      <c r="AX213" s="2297"/>
      <c r="AY213" s="2297"/>
      <c r="AZ213" s="2297"/>
      <c r="BA213" s="2297"/>
      <c r="BB213" s="2297"/>
      <c r="BC213" s="2297"/>
      <c r="BD213" s="2297"/>
      <c r="BE213" s="2297"/>
      <c r="BF213" s="2297"/>
      <c r="BG213" s="2297"/>
      <c r="BH213" s="2297"/>
      <c r="BI213" s="2297"/>
      <c r="BJ213" s="2297"/>
      <c r="BK213" s="2297"/>
      <c r="BL213" s="2297"/>
      <c r="BM213" s="2297"/>
      <c r="BN213" s="2297"/>
      <c r="BO213" s="2297"/>
      <c r="BP213" s="2297"/>
      <c r="BQ213" s="2297"/>
      <c r="BR213" s="2297"/>
      <c r="BS213" s="2297"/>
      <c r="BT213" s="2297"/>
      <c r="BU213" s="2297"/>
      <c r="BV213" s="2297"/>
      <c r="BW213" s="2297"/>
      <c r="BX213" s="2297"/>
      <c r="BY213" s="2297"/>
      <c r="BZ213" s="2297"/>
      <c r="CA213" s="2297"/>
      <c r="CB213" s="2297"/>
      <c r="CC213" s="2297"/>
      <c r="CD213" s="2297"/>
      <c r="CE213" s="2297"/>
      <c r="CF213" s="2297"/>
      <c r="CG213" s="2297"/>
      <c r="CH213" s="2297"/>
      <c r="CI213" s="2297"/>
      <c r="CJ213" s="2297"/>
      <c r="CK213" s="2297"/>
      <c r="CL213" s="2297"/>
      <c r="CM213" s="2297"/>
      <c r="CN213" s="2297"/>
      <c r="CO213" s="2297"/>
      <c r="CP213" s="2297"/>
      <c r="CQ213" s="2297"/>
      <c r="CR213" s="2297"/>
      <c r="CS213" s="2297"/>
      <c r="CT213" s="2297"/>
      <c r="CU213" s="2297"/>
      <c r="CV213" s="2297"/>
      <c r="CW213" s="2297"/>
      <c r="CX213" s="2297"/>
      <c r="CY213" s="2297"/>
      <c r="CZ213" s="2297"/>
      <c r="DA213" s="2297"/>
      <c r="DB213" s="2297"/>
      <c r="DC213" s="2297"/>
      <c r="DD213" s="2297"/>
      <c r="DE213" s="2297"/>
      <c r="DF213" s="2297"/>
      <c r="DG213" s="2297"/>
      <c r="DH213" s="2297"/>
      <c r="DI213" s="2297"/>
      <c r="DJ213" s="2297"/>
      <c r="DK213" s="2297"/>
      <c r="DL213" s="2297"/>
      <c r="DM213" s="2297"/>
      <c r="DN213" s="2297"/>
      <c r="DO213" s="2297"/>
      <c r="DP213" s="2297"/>
      <c r="DQ213" s="2297"/>
      <c r="DR213" s="2297"/>
      <c r="DS213" s="2297"/>
      <c r="DT213" s="2297"/>
      <c r="DU213" s="2297"/>
      <c r="DV213" s="2297"/>
      <c r="DW213" s="2297"/>
      <c r="DX213" s="2297"/>
      <c r="DY213" s="2297"/>
      <c r="DZ213" s="2297"/>
      <c r="EA213" s="2297"/>
      <c r="EB213" s="2297"/>
      <c r="EC213" s="2297"/>
      <c r="ED213" s="2297"/>
      <c r="EE213" s="2297"/>
      <c r="EF213" s="2297"/>
      <c r="EG213" s="2297"/>
      <c r="EH213" s="2297"/>
      <c r="EI213" s="2297"/>
      <c r="EJ213" s="2297"/>
      <c r="EK213" s="2297"/>
      <c r="EL213" s="2297"/>
      <c r="EM213" s="2297"/>
      <c r="EN213" s="2297"/>
      <c r="EO213" s="2297"/>
      <c r="EP213" s="2297"/>
      <c r="EQ213" s="2297"/>
      <c r="ER213" s="2297"/>
      <c r="ES213" s="2297"/>
      <c r="ET213" s="2297"/>
      <c r="EU213" s="2297"/>
      <c r="EV213" s="2297"/>
      <c r="EW213" s="2297"/>
      <c r="EX213" s="2297"/>
      <c r="EY213" s="2297"/>
      <c r="EZ213" s="2297"/>
      <c r="FA213" s="2297"/>
      <c r="FB213" s="2297"/>
      <c r="FC213" s="2297"/>
      <c r="FD213" s="2297"/>
      <c r="FE213" s="2297"/>
      <c r="FF213" s="2297"/>
      <c r="FG213" s="2297"/>
      <c r="FH213" s="2297"/>
      <c r="FI213" s="2297"/>
      <c r="FJ213" s="2297"/>
      <c r="FK213" s="2297"/>
      <c r="FL213" s="2297"/>
      <c r="FM213" s="2297"/>
      <c r="FN213" s="2297"/>
      <c r="FO213" s="2297"/>
      <c r="FP213" s="2297"/>
      <c r="FQ213" s="2297"/>
      <c r="FR213" s="2297"/>
      <c r="FS213" s="2297"/>
      <c r="FT213" s="2297"/>
      <c r="FU213" s="2297"/>
      <c r="FV213" s="2297"/>
      <c r="FW213" s="2297"/>
      <c r="FX213" s="2297"/>
      <c r="FY213" s="2297"/>
      <c r="FZ213" s="2297"/>
      <c r="GA213" s="2297"/>
      <c r="GB213" s="2297"/>
      <c r="GC213" s="2297"/>
      <c r="GD213" s="2297"/>
      <c r="GE213" s="2297"/>
      <c r="GF213" s="2297"/>
      <c r="GG213" s="2297"/>
      <c r="GH213" s="2297"/>
      <c r="GI213" s="2297"/>
      <c r="GJ213" s="2297"/>
      <c r="GK213" s="2297"/>
      <c r="GL213" s="2297"/>
      <c r="GM213" s="2297"/>
      <c r="GN213" s="2297"/>
      <c r="GO213" s="2297"/>
      <c r="GP213" s="2297"/>
      <c r="GQ213" s="2297"/>
      <c r="GR213" s="2297"/>
      <c r="GS213" s="2297"/>
      <c r="GT213" s="2297"/>
      <c r="GU213" s="2297"/>
      <c r="GV213" s="2297"/>
      <c r="GW213" s="2297"/>
      <c r="GX213" s="2297"/>
      <c r="GY213" s="2297"/>
      <c r="GZ213" s="2297"/>
      <c r="HA213" s="2297"/>
      <c r="HB213" s="2297"/>
      <c r="HC213" s="2297"/>
      <c r="HD213" s="2297"/>
      <c r="HE213" s="2297"/>
      <c r="HF213" s="2297"/>
      <c r="HG213" s="2297"/>
      <c r="HH213" s="2297"/>
      <c r="HI213" s="2297"/>
      <c r="HJ213" s="2297"/>
      <c r="HK213" s="2297"/>
      <c r="HL213" s="2297"/>
      <c r="HM213" s="2297"/>
      <c r="HN213" s="2297"/>
      <c r="HO213" s="2297"/>
      <c r="HP213" s="2297"/>
      <c r="HQ213" s="2297"/>
      <c r="HR213" s="2297"/>
      <c r="HS213" s="2297"/>
      <c r="HT213" s="2297"/>
      <c r="HU213" s="2297"/>
      <c r="HV213" s="2297"/>
      <c r="HW213" s="2297"/>
      <c r="HX213" s="2297"/>
      <c r="HY213" s="2297"/>
      <c r="HZ213" s="2297"/>
      <c r="IA213" s="2297"/>
      <c r="IB213" s="2297"/>
      <c r="IC213" s="2297"/>
      <c r="ID213" s="2297"/>
      <c r="IE213" s="2297"/>
      <c r="IF213" s="2297"/>
      <c r="IG213" s="2297"/>
      <c r="IH213" s="2297"/>
      <c r="II213" s="2297"/>
      <c r="IJ213" s="2297"/>
      <c r="IK213" s="2297"/>
      <c r="IL213" s="2297"/>
      <c r="IM213" s="2297"/>
      <c r="IN213" s="2297"/>
      <c r="IO213" s="2297"/>
      <c r="IP213" s="2297"/>
      <c r="IQ213" s="2297"/>
      <c r="IR213" s="2297"/>
      <c r="IS213" s="2297"/>
      <c r="IT213" s="2297"/>
      <c r="IU213" s="2297"/>
      <c r="IV213" s="2297"/>
    </row>
    <row r="214" spans="3:256">
      <c r="C214" s="2298"/>
      <c r="D214" s="2298"/>
      <c r="E214" s="2298"/>
      <c r="F214" s="2298"/>
      <c r="G214" s="2298"/>
      <c r="H214" s="2298"/>
      <c r="AC214" s="2297"/>
      <c r="AD214" s="2297"/>
      <c r="AE214" s="2297"/>
      <c r="AF214" s="2297"/>
      <c r="AG214" s="2297"/>
      <c r="AH214" s="2297"/>
      <c r="AI214" s="2297"/>
      <c r="AJ214" s="2297"/>
      <c r="AK214" s="2297"/>
      <c r="AL214" s="2297"/>
      <c r="AM214" s="2297"/>
      <c r="AN214" s="2297"/>
      <c r="AO214" s="2297"/>
      <c r="AP214" s="2297"/>
      <c r="AQ214" s="2297"/>
      <c r="AR214" s="2297"/>
      <c r="AS214" s="2297"/>
      <c r="AT214" s="2297"/>
      <c r="AU214" s="2297"/>
      <c r="AV214" s="2297"/>
      <c r="AW214" s="2297"/>
      <c r="AX214" s="2297"/>
      <c r="AY214" s="2297"/>
      <c r="AZ214" s="2297"/>
      <c r="BA214" s="2297"/>
      <c r="BB214" s="2297"/>
      <c r="BC214" s="2297"/>
      <c r="BD214" s="2297"/>
      <c r="BE214" s="2297"/>
      <c r="BF214" s="2297"/>
      <c r="BG214" s="2297"/>
      <c r="BH214" s="2297"/>
      <c r="BI214" s="2297"/>
      <c r="BJ214" s="2297"/>
      <c r="BK214" s="2297"/>
      <c r="BL214" s="2297"/>
      <c r="BM214" s="2297"/>
      <c r="BN214" s="2297"/>
      <c r="BO214" s="2297"/>
      <c r="BP214" s="2297"/>
      <c r="BQ214" s="2297"/>
      <c r="BR214" s="2297"/>
      <c r="BS214" s="2297"/>
      <c r="BT214" s="2297"/>
      <c r="BU214" s="2297"/>
      <c r="BV214" s="2297"/>
      <c r="BW214" s="2297"/>
      <c r="BX214" s="2297"/>
      <c r="BY214" s="2297"/>
      <c r="BZ214" s="2297"/>
      <c r="CA214" s="2297"/>
      <c r="CB214" s="2297"/>
      <c r="CC214" s="2297"/>
      <c r="CD214" s="2297"/>
      <c r="CE214" s="2297"/>
      <c r="CF214" s="2297"/>
      <c r="CG214" s="2297"/>
      <c r="CH214" s="2297"/>
      <c r="CI214" s="2297"/>
      <c r="CJ214" s="2297"/>
      <c r="CK214" s="2297"/>
      <c r="CL214" s="2297"/>
      <c r="CM214" s="2297"/>
      <c r="CN214" s="2297"/>
      <c r="CO214" s="2297"/>
      <c r="CP214" s="2297"/>
      <c r="CQ214" s="2297"/>
      <c r="CR214" s="2297"/>
      <c r="CS214" s="2297"/>
      <c r="CT214" s="2297"/>
      <c r="CU214" s="2297"/>
      <c r="CV214" s="2297"/>
      <c r="CW214" s="2297"/>
      <c r="CX214" s="2297"/>
      <c r="CY214" s="2297"/>
      <c r="CZ214" s="2297"/>
      <c r="DA214" s="2297"/>
      <c r="DB214" s="2297"/>
      <c r="DC214" s="2297"/>
      <c r="DD214" s="2297"/>
      <c r="DE214" s="2297"/>
      <c r="DF214" s="2297"/>
      <c r="DG214" s="2297"/>
      <c r="DH214" s="2297"/>
      <c r="DI214" s="2297"/>
      <c r="DJ214" s="2297"/>
      <c r="DK214" s="2297"/>
      <c r="DL214" s="2297"/>
      <c r="DM214" s="2297"/>
      <c r="DN214" s="2297"/>
      <c r="DO214" s="2297"/>
      <c r="DP214" s="2297"/>
      <c r="DQ214" s="2297"/>
      <c r="DR214" s="2297"/>
      <c r="DS214" s="2297"/>
      <c r="DT214" s="2297"/>
      <c r="DU214" s="2297"/>
      <c r="DV214" s="2297"/>
      <c r="DW214" s="2297"/>
      <c r="DX214" s="2297"/>
      <c r="DY214" s="2297"/>
      <c r="DZ214" s="2297"/>
      <c r="EA214" s="2297"/>
      <c r="EB214" s="2297"/>
      <c r="EC214" s="2297"/>
      <c r="ED214" s="2297"/>
      <c r="EE214" s="2297"/>
      <c r="EF214" s="2297"/>
      <c r="EG214" s="2297"/>
      <c r="EH214" s="2297"/>
      <c r="EI214" s="2297"/>
      <c r="EJ214" s="2297"/>
      <c r="EK214" s="2297"/>
      <c r="EL214" s="2297"/>
      <c r="EM214" s="2297"/>
      <c r="EN214" s="2297"/>
      <c r="EO214" s="2297"/>
      <c r="EP214" s="2297"/>
      <c r="EQ214" s="2297"/>
      <c r="ER214" s="2297"/>
      <c r="ES214" s="2297"/>
      <c r="ET214" s="2297"/>
      <c r="EU214" s="2297"/>
      <c r="EV214" s="2297"/>
      <c r="EW214" s="2297"/>
      <c r="EX214" s="2297"/>
      <c r="EY214" s="2297"/>
      <c r="EZ214" s="2297"/>
      <c r="FA214" s="2297"/>
      <c r="FB214" s="2297"/>
      <c r="FC214" s="2297"/>
      <c r="FD214" s="2297"/>
      <c r="FE214" s="2297"/>
      <c r="FF214" s="2297"/>
      <c r="FG214" s="2297"/>
      <c r="FH214" s="2297"/>
      <c r="FI214" s="2297"/>
      <c r="FJ214" s="2297"/>
      <c r="FK214" s="2297"/>
      <c r="FL214" s="2297"/>
      <c r="FM214" s="2297"/>
      <c r="FN214" s="2297"/>
      <c r="FO214" s="2297"/>
      <c r="FP214" s="2297"/>
      <c r="FQ214" s="2297"/>
      <c r="FR214" s="2297"/>
      <c r="FS214" s="2297"/>
      <c r="FT214" s="2297"/>
      <c r="FU214" s="2297"/>
      <c r="FV214" s="2297"/>
      <c r="FW214" s="2297"/>
      <c r="FX214" s="2297"/>
      <c r="FY214" s="2297"/>
      <c r="FZ214" s="2297"/>
      <c r="GA214" s="2297"/>
      <c r="GB214" s="2297"/>
      <c r="GC214" s="2297"/>
      <c r="GD214" s="2297"/>
      <c r="GE214" s="2297"/>
      <c r="GF214" s="2297"/>
      <c r="GG214" s="2297"/>
      <c r="GH214" s="2297"/>
      <c r="GI214" s="2297"/>
      <c r="GJ214" s="2297"/>
      <c r="GK214" s="2297"/>
      <c r="GL214" s="2297"/>
      <c r="GM214" s="2297"/>
      <c r="GN214" s="2297"/>
      <c r="GO214" s="2297"/>
      <c r="GP214" s="2297"/>
      <c r="GQ214" s="2297"/>
      <c r="GR214" s="2297"/>
      <c r="GS214" s="2297"/>
      <c r="GT214" s="2297"/>
      <c r="GU214" s="2297"/>
      <c r="GV214" s="2297"/>
      <c r="GW214" s="2297"/>
      <c r="GX214" s="2297"/>
      <c r="GY214" s="2297"/>
      <c r="GZ214" s="2297"/>
      <c r="HA214" s="2297"/>
      <c r="HB214" s="2297"/>
      <c r="HC214" s="2297"/>
      <c r="HD214" s="2297"/>
      <c r="HE214" s="2297"/>
      <c r="HF214" s="2297"/>
      <c r="HG214" s="2297"/>
      <c r="HH214" s="2297"/>
      <c r="HI214" s="2297"/>
      <c r="HJ214" s="2297"/>
      <c r="HK214" s="2297"/>
      <c r="HL214" s="2297"/>
      <c r="HM214" s="2297"/>
      <c r="HN214" s="2297"/>
      <c r="HO214" s="2297"/>
      <c r="HP214" s="2297"/>
      <c r="HQ214" s="2297"/>
      <c r="HR214" s="2297"/>
      <c r="HS214" s="2297"/>
      <c r="HT214" s="2297"/>
      <c r="HU214" s="2297"/>
      <c r="HV214" s="2297"/>
      <c r="HW214" s="2297"/>
      <c r="HX214" s="2297"/>
      <c r="HY214" s="2297"/>
      <c r="HZ214" s="2297"/>
      <c r="IA214" s="2297"/>
      <c r="IB214" s="2297"/>
      <c r="IC214" s="2297"/>
      <c r="ID214" s="2297"/>
      <c r="IE214" s="2297"/>
      <c r="IF214" s="2297"/>
      <c r="IG214" s="2297"/>
      <c r="IH214" s="2297"/>
      <c r="II214" s="2297"/>
      <c r="IJ214" s="2297"/>
      <c r="IK214" s="2297"/>
      <c r="IL214" s="2297"/>
      <c r="IM214" s="2297"/>
      <c r="IN214" s="2297"/>
      <c r="IO214" s="2297"/>
      <c r="IP214" s="2297"/>
      <c r="IQ214" s="2297"/>
      <c r="IR214" s="2297"/>
      <c r="IS214" s="2297"/>
      <c r="IT214" s="2297"/>
      <c r="IU214" s="2297"/>
      <c r="IV214" s="2297"/>
    </row>
    <row r="215" spans="3:256">
      <c r="C215" s="2298"/>
      <c r="D215" s="2298"/>
      <c r="E215" s="2298"/>
      <c r="F215" s="2298"/>
      <c r="G215" s="2298"/>
      <c r="H215" s="2298"/>
      <c r="AC215" s="2297"/>
      <c r="AD215" s="2297"/>
      <c r="AE215" s="2297"/>
      <c r="AF215" s="2297"/>
      <c r="AG215" s="2297"/>
      <c r="AH215" s="2297"/>
      <c r="AI215" s="2297"/>
      <c r="AJ215" s="2297"/>
      <c r="AK215" s="2297"/>
      <c r="AL215" s="2297"/>
      <c r="AM215" s="2297"/>
      <c r="AN215" s="2297"/>
      <c r="AO215" s="2297"/>
      <c r="AP215" s="2297"/>
      <c r="AQ215" s="2297"/>
      <c r="AR215" s="2297"/>
      <c r="AS215" s="2297"/>
      <c r="AT215" s="2297"/>
      <c r="AU215" s="2297"/>
      <c r="AV215" s="2297"/>
      <c r="AW215" s="2297"/>
      <c r="AX215" s="2297"/>
      <c r="AY215" s="2297"/>
      <c r="AZ215" s="2297"/>
      <c r="BA215" s="2297"/>
      <c r="BB215" s="2297"/>
      <c r="BC215" s="2297"/>
      <c r="BD215" s="2297"/>
      <c r="BE215" s="2297"/>
      <c r="BF215" s="2297"/>
      <c r="BG215" s="2297"/>
      <c r="BH215" s="2297"/>
      <c r="BI215" s="2297"/>
      <c r="BJ215" s="2297"/>
      <c r="BK215" s="2297"/>
      <c r="BL215" s="2297"/>
      <c r="BM215" s="2297"/>
      <c r="BN215" s="2297"/>
      <c r="BO215" s="2297"/>
      <c r="BP215" s="2297"/>
      <c r="BQ215" s="2297"/>
      <c r="BR215" s="2297"/>
      <c r="BS215" s="2297"/>
      <c r="BT215" s="2297"/>
      <c r="BU215" s="2297"/>
      <c r="BV215" s="2297"/>
      <c r="BW215" s="2297"/>
      <c r="BX215" s="2297"/>
      <c r="BY215" s="2297"/>
      <c r="BZ215" s="2297"/>
      <c r="CA215" s="2297"/>
      <c r="CB215" s="2297"/>
      <c r="CC215" s="2297"/>
      <c r="CD215" s="2297"/>
      <c r="CE215" s="2297"/>
      <c r="CF215" s="2297"/>
      <c r="CG215" s="2297"/>
      <c r="CH215" s="2297"/>
      <c r="CI215" s="2297"/>
      <c r="CJ215" s="2297"/>
      <c r="CK215" s="2297"/>
      <c r="CL215" s="2297"/>
      <c r="CM215" s="2297"/>
      <c r="CN215" s="2297"/>
      <c r="CO215" s="2297"/>
      <c r="CP215" s="2297"/>
      <c r="CQ215" s="2297"/>
      <c r="CR215" s="2297"/>
      <c r="CS215" s="2297"/>
      <c r="CT215" s="2297"/>
      <c r="CU215" s="2297"/>
      <c r="CV215" s="2297"/>
      <c r="CW215" s="2297"/>
      <c r="CX215" s="2297"/>
      <c r="CY215" s="2297"/>
      <c r="CZ215" s="2297"/>
      <c r="DA215" s="2297"/>
      <c r="DB215" s="2297"/>
      <c r="DC215" s="2297"/>
      <c r="DD215" s="2297"/>
      <c r="DE215" s="2297"/>
      <c r="DF215" s="2297"/>
      <c r="DG215" s="2297"/>
      <c r="DH215" s="2297"/>
      <c r="DI215" s="2297"/>
      <c r="DJ215" s="2297"/>
      <c r="DK215" s="2297"/>
      <c r="DL215" s="2297"/>
      <c r="DM215" s="2297"/>
      <c r="DN215" s="2297"/>
      <c r="DO215" s="2297"/>
      <c r="DP215" s="2297"/>
      <c r="DQ215" s="2297"/>
      <c r="DR215" s="2297"/>
      <c r="DS215" s="2297"/>
      <c r="DT215" s="2297"/>
      <c r="DU215" s="2297"/>
      <c r="DV215" s="2297"/>
      <c r="DW215" s="2297"/>
      <c r="DX215" s="2297"/>
      <c r="DY215" s="2297"/>
      <c r="DZ215" s="2297"/>
      <c r="EA215" s="2297"/>
      <c r="EB215" s="2297"/>
      <c r="EC215" s="2297"/>
      <c r="ED215" s="2297"/>
      <c r="EE215" s="2297"/>
      <c r="EF215" s="2297"/>
      <c r="EG215" s="2297"/>
      <c r="EH215" s="2297"/>
      <c r="EI215" s="2297"/>
      <c r="EJ215" s="2297"/>
      <c r="EK215" s="2297"/>
      <c r="EL215" s="2297"/>
      <c r="EM215" s="2297"/>
      <c r="EN215" s="2297"/>
      <c r="EO215" s="2297"/>
      <c r="EP215" s="2297"/>
      <c r="EQ215" s="2297"/>
      <c r="ER215" s="2297"/>
      <c r="ES215" s="2297"/>
      <c r="ET215" s="2297"/>
      <c r="EU215" s="2297"/>
      <c r="EV215" s="2297"/>
      <c r="EW215" s="2297"/>
      <c r="EX215" s="2297"/>
      <c r="EY215" s="2297"/>
      <c r="EZ215" s="2297"/>
      <c r="FA215" s="2297"/>
      <c r="FB215" s="2297"/>
      <c r="FC215" s="2297"/>
      <c r="FD215" s="2297"/>
      <c r="FE215" s="2297"/>
      <c r="FF215" s="2297"/>
      <c r="FG215" s="2297"/>
      <c r="FH215" s="2297"/>
      <c r="FI215" s="2297"/>
      <c r="FJ215" s="2297"/>
      <c r="FK215" s="2297"/>
      <c r="FL215" s="2297"/>
      <c r="FM215" s="2297"/>
      <c r="FN215" s="2297"/>
      <c r="FO215" s="2297"/>
      <c r="FP215" s="2297"/>
      <c r="FQ215" s="2297"/>
      <c r="FR215" s="2297"/>
      <c r="FS215" s="2297"/>
      <c r="FT215" s="2297"/>
      <c r="FU215" s="2297"/>
      <c r="FV215" s="2297"/>
      <c r="FW215" s="2297"/>
      <c r="FX215" s="2297"/>
      <c r="FY215" s="2297"/>
      <c r="FZ215" s="2297"/>
      <c r="GA215" s="2297"/>
      <c r="GB215" s="2297"/>
      <c r="GC215" s="2297"/>
      <c r="GD215" s="2297"/>
      <c r="GE215" s="2297"/>
      <c r="GF215" s="2297"/>
      <c r="GG215" s="2297"/>
      <c r="GH215" s="2297"/>
      <c r="GI215" s="2297"/>
      <c r="GJ215" s="2297"/>
      <c r="GK215" s="2297"/>
      <c r="GL215" s="2297"/>
      <c r="GM215" s="2297"/>
      <c r="GN215" s="2297"/>
      <c r="GO215" s="2297"/>
      <c r="GP215" s="2297"/>
      <c r="GQ215" s="2297"/>
      <c r="GR215" s="2297"/>
      <c r="GS215" s="2297"/>
      <c r="GT215" s="2297"/>
      <c r="GU215" s="2297"/>
      <c r="GV215" s="2297"/>
      <c r="GW215" s="2297"/>
      <c r="GX215" s="2297"/>
      <c r="GY215" s="2297"/>
      <c r="GZ215" s="2297"/>
      <c r="HA215" s="2297"/>
      <c r="HB215" s="2297"/>
      <c r="HC215" s="2297"/>
      <c r="HD215" s="2297"/>
      <c r="HE215" s="2297"/>
      <c r="HF215" s="2297"/>
      <c r="HG215" s="2297"/>
      <c r="HH215" s="2297"/>
      <c r="HI215" s="2297"/>
      <c r="HJ215" s="2297"/>
      <c r="HK215" s="2297"/>
      <c r="HL215" s="2297"/>
      <c r="HM215" s="2297"/>
      <c r="HN215" s="2297"/>
      <c r="HO215" s="2297"/>
      <c r="HP215" s="2297"/>
      <c r="HQ215" s="2297"/>
      <c r="HR215" s="2297"/>
      <c r="HS215" s="2297"/>
      <c r="HT215" s="2297"/>
      <c r="HU215" s="2297"/>
      <c r="HV215" s="2297"/>
      <c r="HW215" s="2297"/>
      <c r="HX215" s="2297"/>
      <c r="HY215" s="2297"/>
      <c r="HZ215" s="2297"/>
      <c r="IA215" s="2297"/>
      <c r="IB215" s="2297"/>
      <c r="IC215" s="2297"/>
      <c r="ID215" s="2297"/>
      <c r="IE215" s="2297"/>
      <c r="IF215" s="2297"/>
      <c r="IG215" s="2297"/>
      <c r="IH215" s="2297"/>
      <c r="II215" s="2297"/>
      <c r="IJ215" s="2297"/>
      <c r="IK215" s="2297"/>
      <c r="IL215" s="2297"/>
      <c r="IM215" s="2297"/>
      <c r="IN215" s="2297"/>
      <c r="IO215" s="2297"/>
      <c r="IP215" s="2297"/>
      <c r="IQ215" s="2297"/>
      <c r="IR215" s="2297"/>
      <c r="IS215" s="2297"/>
      <c r="IT215" s="2297"/>
      <c r="IU215" s="2297"/>
      <c r="IV215" s="2297"/>
    </row>
    <row r="216" spans="3:256">
      <c r="C216" s="2298"/>
      <c r="D216" s="2298"/>
      <c r="E216" s="2298"/>
      <c r="F216" s="2298"/>
      <c r="G216" s="2298"/>
      <c r="H216" s="2298"/>
      <c r="AC216" s="2297"/>
      <c r="AD216" s="2297"/>
      <c r="AE216" s="2297"/>
      <c r="AF216" s="2297"/>
      <c r="AG216" s="2297"/>
      <c r="AH216" s="2297"/>
      <c r="AI216" s="2297"/>
      <c r="AJ216" s="2297"/>
      <c r="AK216" s="2297"/>
      <c r="AL216" s="2297"/>
      <c r="AM216" s="2297"/>
      <c r="AN216" s="2297"/>
      <c r="AO216" s="2297"/>
      <c r="AP216" s="2297"/>
      <c r="AQ216" s="2297"/>
      <c r="AR216" s="2297"/>
      <c r="AS216" s="2297"/>
      <c r="AT216" s="2297"/>
      <c r="AU216" s="2297"/>
      <c r="AV216" s="2297"/>
      <c r="AW216" s="2297"/>
      <c r="AX216" s="2297"/>
      <c r="AY216" s="2297"/>
      <c r="AZ216" s="2297"/>
      <c r="BA216" s="2297"/>
      <c r="BB216" s="2297"/>
      <c r="BC216" s="2297"/>
      <c r="BD216" s="2297"/>
      <c r="BE216" s="2297"/>
      <c r="BF216" s="2297"/>
      <c r="BG216" s="2297"/>
      <c r="BH216" s="2297"/>
      <c r="BI216" s="2297"/>
      <c r="BJ216" s="2297"/>
      <c r="BK216" s="2297"/>
      <c r="BL216" s="2297"/>
      <c r="BM216" s="2297"/>
      <c r="BN216" s="2297"/>
      <c r="BO216" s="2297"/>
      <c r="BP216" s="2297"/>
      <c r="BQ216" s="2297"/>
      <c r="BR216" s="2297"/>
      <c r="BS216" s="2297"/>
      <c r="BT216" s="2297"/>
      <c r="BU216" s="2297"/>
      <c r="BV216" s="2297"/>
      <c r="BW216" s="2297"/>
      <c r="BX216" s="2297"/>
      <c r="BY216" s="2297"/>
      <c r="BZ216" s="2297"/>
      <c r="CA216" s="2297"/>
      <c r="CB216" s="2297"/>
      <c r="CC216" s="2297"/>
      <c r="CD216" s="2297"/>
      <c r="CE216" s="2297"/>
      <c r="CF216" s="2297"/>
      <c r="CG216" s="2297"/>
      <c r="CH216" s="2297"/>
      <c r="CI216" s="2297"/>
      <c r="CJ216" s="2297"/>
      <c r="CK216" s="2297"/>
      <c r="CL216" s="2297"/>
      <c r="CM216" s="2297"/>
      <c r="CN216" s="2297"/>
      <c r="CO216" s="2297"/>
      <c r="CP216" s="2297"/>
      <c r="CQ216" s="2297"/>
      <c r="CR216" s="2297"/>
      <c r="CS216" s="2297"/>
      <c r="CT216" s="2297"/>
      <c r="CU216" s="2297"/>
      <c r="CV216" s="2297"/>
      <c r="CW216" s="2297"/>
      <c r="CX216" s="2297"/>
      <c r="CY216" s="2297"/>
      <c r="CZ216" s="2297"/>
      <c r="DA216" s="2297"/>
      <c r="DB216" s="2297"/>
      <c r="DC216" s="2297"/>
      <c r="DD216" s="2297"/>
      <c r="DE216" s="2297"/>
      <c r="DF216" s="2297"/>
      <c r="DG216" s="2297"/>
      <c r="DH216" s="2297"/>
      <c r="DI216" s="2297"/>
      <c r="DJ216" s="2297"/>
      <c r="DK216" s="2297"/>
      <c r="DL216" s="2297"/>
      <c r="DM216" s="2297"/>
      <c r="DN216" s="2297"/>
      <c r="DO216" s="2297"/>
      <c r="DP216" s="2297"/>
      <c r="DQ216" s="2297"/>
      <c r="DR216" s="2297"/>
      <c r="DS216" s="2297"/>
      <c r="DT216" s="2297"/>
      <c r="DU216" s="2297"/>
      <c r="DV216" s="2297"/>
      <c r="DW216" s="2297"/>
      <c r="DX216" s="2297"/>
      <c r="DY216" s="2297"/>
      <c r="DZ216" s="2297"/>
      <c r="EA216" s="2297"/>
      <c r="EB216" s="2297"/>
      <c r="EC216" s="2297"/>
      <c r="ED216" s="2297"/>
      <c r="EE216" s="2297"/>
      <c r="EF216" s="2297"/>
      <c r="EG216" s="2297"/>
      <c r="EH216" s="2297"/>
      <c r="EI216" s="2297"/>
      <c r="EJ216" s="2297"/>
      <c r="EK216" s="2297"/>
      <c r="EL216" s="2297"/>
      <c r="EM216" s="2297"/>
      <c r="EN216" s="2297"/>
      <c r="EO216" s="2297"/>
      <c r="EP216" s="2297"/>
      <c r="EQ216" s="2297"/>
      <c r="ER216" s="2297"/>
      <c r="ES216" s="2297"/>
      <c r="ET216" s="2297"/>
      <c r="EU216" s="2297"/>
      <c r="EV216" s="2297"/>
      <c r="EW216" s="2297"/>
      <c r="EX216" s="2297"/>
      <c r="EY216" s="2297"/>
      <c r="EZ216" s="2297"/>
      <c r="FA216" s="2297"/>
      <c r="FB216" s="2297"/>
      <c r="FC216" s="2297"/>
      <c r="FD216" s="2297"/>
      <c r="FE216" s="2297"/>
      <c r="FF216" s="2297"/>
      <c r="FG216" s="2297"/>
      <c r="FH216" s="2297"/>
      <c r="FI216" s="2297"/>
      <c r="FJ216" s="2297"/>
      <c r="FK216" s="2297"/>
      <c r="FL216" s="2297"/>
      <c r="FM216" s="2297"/>
      <c r="FN216" s="2297"/>
      <c r="FO216" s="2297"/>
      <c r="FP216" s="2297"/>
      <c r="FQ216" s="2297"/>
      <c r="FR216" s="2297"/>
      <c r="FS216" s="2297"/>
      <c r="FT216" s="2297"/>
      <c r="FU216" s="2297"/>
      <c r="FV216" s="2297"/>
      <c r="FW216" s="2297"/>
      <c r="FX216" s="2297"/>
      <c r="FY216" s="2297"/>
      <c r="FZ216" s="2297"/>
      <c r="GA216" s="2297"/>
      <c r="GB216" s="2297"/>
      <c r="GC216" s="2297"/>
      <c r="GD216" s="2297"/>
      <c r="GE216" s="2297"/>
      <c r="GF216" s="2297"/>
      <c r="GG216" s="2297"/>
      <c r="GH216" s="2297"/>
      <c r="GI216" s="2297"/>
      <c r="GJ216" s="2297"/>
      <c r="GK216" s="2297"/>
      <c r="GL216" s="2297"/>
      <c r="GM216" s="2297"/>
      <c r="GN216" s="2297"/>
      <c r="GO216" s="2297"/>
      <c r="GP216" s="2297"/>
      <c r="GQ216" s="2297"/>
      <c r="GR216" s="2297"/>
      <c r="GS216" s="2297"/>
      <c r="GT216" s="2297"/>
      <c r="GU216" s="2297"/>
      <c r="GV216" s="2297"/>
      <c r="GW216" s="2297"/>
      <c r="GX216" s="2297"/>
      <c r="GY216" s="2297"/>
      <c r="GZ216" s="2297"/>
      <c r="HA216" s="2297"/>
      <c r="HB216" s="2297"/>
      <c r="HC216" s="2297"/>
      <c r="HD216" s="2297"/>
      <c r="HE216" s="2297"/>
      <c r="HF216" s="2297"/>
      <c r="HG216" s="2297"/>
      <c r="HH216" s="2297"/>
      <c r="HI216" s="2297"/>
      <c r="HJ216" s="2297"/>
      <c r="HK216" s="2297"/>
      <c r="HL216" s="2297"/>
      <c r="HM216" s="2297"/>
      <c r="HN216" s="2297"/>
      <c r="HO216" s="2297"/>
      <c r="HP216" s="2297"/>
      <c r="HQ216" s="2297"/>
      <c r="HR216" s="2297"/>
      <c r="HS216" s="2297"/>
      <c r="HT216" s="2297"/>
      <c r="HU216" s="2297"/>
      <c r="HV216" s="2297"/>
      <c r="HW216" s="2297"/>
      <c r="HX216" s="2297"/>
      <c r="HY216" s="2297"/>
      <c r="HZ216" s="2297"/>
      <c r="IA216" s="2297"/>
      <c r="IB216" s="2297"/>
      <c r="IC216" s="2297"/>
      <c r="ID216" s="2297"/>
      <c r="IE216" s="2297"/>
      <c r="IF216" s="2297"/>
      <c r="IG216" s="2297"/>
      <c r="IH216" s="2297"/>
      <c r="II216" s="2297"/>
      <c r="IJ216" s="2297"/>
      <c r="IK216" s="2297"/>
      <c r="IL216" s="2297"/>
      <c r="IM216" s="2297"/>
      <c r="IN216" s="2297"/>
      <c r="IO216" s="2297"/>
      <c r="IP216" s="2297"/>
      <c r="IQ216" s="2297"/>
      <c r="IR216" s="2297"/>
      <c r="IS216" s="2297"/>
      <c r="IT216" s="2297"/>
      <c r="IU216" s="2297"/>
      <c r="IV216" s="2297"/>
    </row>
    <row r="217" spans="3:256">
      <c r="C217" s="2298"/>
      <c r="D217" s="2298"/>
      <c r="E217" s="2298"/>
      <c r="F217" s="2298"/>
      <c r="G217" s="2298"/>
      <c r="H217" s="2298"/>
      <c r="AC217" s="2297"/>
      <c r="AD217" s="2297"/>
      <c r="AE217" s="2297"/>
      <c r="AF217" s="2297"/>
      <c r="AG217" s="2297"/>
      <c r="AH217" s="2297"/>
      <c r="AI217" s="2297"/>
      <c r="AJ217" s="2297"/>
      <c r="AK217" s="2297"/>
      <c r="AL217" s="2297"/>
      <c r="AM217" s="2297"/>
      <c r="AN217" s="2297"/>
      <c r="AO217" s="2297"/>
      <c r="AP217" s="2297"/>
      <c r="AQ217" s="2297"/>
      <c r="AR217" s="2297"/>
      <c r="AS217" s="2297"/>
      <c r="AT217" s="2297"/>
      <c r="AU217" s="2297"/>
      <c r="AV217" s="2297"/>
      <c r="AW217" s="2297"/>
      <c r="AX217" s="2297"/>
      <c r="AY217" s="2297"/>
      <c r="AZ217" s="2297"/>
      <c r="BA217" s="2297"/>
      <c r="BB217" s="2297"/>
      <c r="BC217" s="2297"/>
      <c r="BD217" s="2297"/>
      <c r="BE217" s="2297"/>
      <c r="BF217" s="2297"/>
      <c r="BG217" s="2297"/>
      <c r="BH217" s="2297"/>
      <c r="BI217" s="2297"/>
      <c r="BJ217" s="2297"/>
      <c r="BK217" s="2297"/>
      <c r="BL217" s="2297"/>
      <c r="BM217" s="2297"/>
      <c r="BN217" s="2297"/>
      <c r="BO217" s="2297"/>
      <c r="BP217" s="2297"/>
      <c r="BQ217" s="2297"/>
      <c r="BR217" s="2297"/>
      <c r="BS217" s="2297"/>
      <c r="BT217" s="2297"/>
      <c r="BU217" s="2297"/>
      <c r="BV217" s="2297"/>
      <c r="BW217" s="2297"/>
      <c r="BX217" s="2297"/>
      <c r="BY217" s="2297"/>
      <c r="BZ217" s="2297"/>
      <c r="CA217" s="2297"/>
      <c r="CB217" s="2297"/>
      <c r="CC217" s="2297"/>
      <c r="CD217" s="2297"/>
      <c r="CE217" s="2297"/>
      <c r="CF217" s="2297"/>
      <c r="CG217" s="2297"/>
      <c r="CH217" s="2297"/>
      <c r="CI217" s="2297"/>
      <c r="CJ217" s="2297"/>
      <c r="CK217" s="2297"/>
      <c r="CL217" s="2297"/>
      <c r="CM217" s="2297"/>
      <c r="CN217" s="2297"/>
      <c r="CO217" s="2297"/>
      <c r="CP217" s="2297"/>
      <c r="CQ217" s="2297"/>
      <c r="CR217" s="2297"/>
      <c r="CS217" s="2297"/>
      <c r="CT217" s="2297"/>
      <c r="CU217" s="2297"/>
      <c r="CV217" s="2297"/>
      <c r="CW217" s="2297"/>
      <c r="CX217" s="2297"/>
      <c r="CY217" s="2297"/>
      <c r="CZ217" s="2297"/>
      <c r="DA217" s="2297"/>
      <c r="DB217" s="2297"/>
      <c r="DC217" s="2297"/>
      <c r="DD217" s="2297"/>
      <c r="DE217" s="2297"/>
      <c r="DF217" s="2297"/>
      <c r="DG217" s="2297"/>
      <c r="DH217" s="2297"/>
      <c r="DI217" s="2297"/>
      <c r="DJ217" s="2297"/>
      <c r="DK217" s="2297"/>
      <c r="DL217" s="2297"/>
      <c r="DM217" s="2297"/>
      <c r="DN217" s="2297"/>
      <c r="DO217" s="2297"/>
      <c r="DP217" s="2297"/>
      <c r="DQ217" s="2297"/>
      <c r="DR217" s="2297"/>
      <c r="DS217" s="2297"/>
      <c r="DT217" s="2297"/>
      <c r="DU217" s="2297"/>
      <c r="DV217" s="2297"/>
      <c r="DW217" s="2297"/>
      <c r="DX217" s="2297"/>
      <c r="DY217" s="2297"/>
      <c r="DZ217" s="2297"/>
      <c r="EA217" s="2297"/>
      <c r="EB217" s="2297"/>
      <c r="EC217" s="2297"/>
      <c r="ED217" s="2297"/>
      <c r="EE217" s="2297"/>
      <c r="EF217" s="2297"/>
      <c r="EG217" s="2297"/>
      <c r="EH217" s="2297"/>
      <c r="EI217" s="2297"/>
      <c r="EJ217" s="2297"/>
      <c r="EK217" s="2297"/>
      <c r="EL217" s="2297"/>
      <c r="EM217" s="2297"/>
      <c r="EN217" s="2297"/>
      <c r="EO217" s="2297"/>
      <c r="EP217" s="2297"/>
      <c r="EQ217" s="2297"/>
      <c r="ER217" s="2297"/>
      <c r="ES217" s="2297"/>
      <c r="ET217" s="2297"/>
      <c r="EU217" s="2297"/>
      <c r="EV217" s="2297"/>
      <c r="EW217" s="2297"/>
      <c r="EX217" s="2297"/>
      <c r="EY217" s="2297"/>
      <c r="EZ217" s="2297"/>
      <c r="FA217" s="2297"/>
      <c r="FB217" s="2297"/>
      <c r="FC217" s="2297"/>
      <c r="FD217" s="2297"/>
      <c r="FE217" s="2297"/>
      <c r="FF217" s="2297"/>
      <c r="FG217" s="2297"/>
      <c r="FH217" s="2297"/>
      <c r="FI217" s="2297"/>
      <c r="FJ217" s="2297"/>
      <c r="FK217" s="2297"/>
      <c r="FL217" s="2297"/>
      <c r="FM217" s="2297"/>
      <c r="FN217" s="2297"/>
      <c r="FO217" s="2297"/>
      <c r="FP217" s="2297"/>
      <c r="FQ217" s="2297"/>
      <c r="FR217" s="2297"/>
      <c r="FS217" s="2297"/>
      <c r="FT217" s="2297"/>
      <c r="FU217" s="2297"/>
      <c r="FV217" s="2297"/>
      <c r="FW217" s="2297"/>
      <c r="FX217" s="2297"/>
      <c r="FY217" s="2297"/>
      <c r="FZ217" s="2297"/>
      <c r="GA217" s="2297"/>
      <c r="GB217" s="2297"/>
      <c r="GC217" s="2297"/>
      <c r="GD217" s="2297"/>
      <c r="GE217" s="2297"/>
      <c r="GF217" s="2297"/>
      <c r="GG217" s="2297"/>
      <c r="GH217" s="2297"/>
      <c r="GI217" s="2297"/>
      <c r="GJ217" s="2297"/>
      <c r="GK217" s="2297"/>
      <c r="GL217" s="2297"/>
      <c r="GM217" s="2297"/>
      <c r="GN217" s="2297"/>
      <c r="GO217" s="2297"/>
      <c r="GP217" s="2297"/>
      <c r="GQ217" s="2297"/>
      <c r="GR217" s="2297"/>
      <c r="GS217" s="2297"/>
      <c r="GT217" s="2297"/>
      <c r="GU217" s="2297"/>
      <c r="GV217" s="2297"/>
      <c r="GW217" s="2297"/>
      <c r="GX217" s="2297"/>
      <c r="GY217" s="2297"/>
      <c r="GZ217" s="2297"/>
      <c r="HA217" s="2297"/>
      <c r="HB217" s="2297"/>
      <c r="HC217" s="2297"/>
      <c r="HD217" s="2297"/>
      <c r="HE217" s="2297"/>
      <c r="HF217" s="2297"/>
      <c r="HG217" s="2297"/>
      <c r="HH217" s="2297"/>
      <c r="HI217" s="2297"/>
      <c r="HJ217" s="2297"/>
      <c r="HK217" s="2297"/>
      <c r="HL217" s="2297"/>
      <c r="HM217" s="2297"/>
      <c r="HN217" s="2297"/>
      <c r="HO217" s="2297"/>
      <c r="HP217" s="2297"/>
      <c r="HQ217" s="2297"/>
      <c r="HR217" s="2297"/>
      <c r="HS217" s="2297"/>
      <c r="HT217" s="2297"/>
      <c r="HU217" s="2297"/>
      <c r="HV217" s="2297"/>
      <c r="HW217" s="2297"/>
      <c r="HX217" s="2297"/>
      <c r="HY217" s="2297"/>
      <c r="HZ217" s="2297"/>
      <c r="IA217" s="2297"/>
      <c r="IB217" s="2297"/>
      <c r="IC217" s="2297"/>
      <c r="ID217" s="2297"/>
      <c r="IE217" s="2297"/>
      <c r="IF217" s="2297"/>
      <c r="IG217" s="2297"/>
      <c r="IH217" s="2297"/>
      <c r="II217" s="2297"/>
      <c r="IJ217" s="2297"/>
      <c r="IK217" s="2297"/>
      <c r="IL217" s="2297"/>
      <c r="IM217" s="2297"/>
      <c r="IN217" s="2297"/>
      <c r="IO217" s="2297"/>
      <c r="IP217" s="2297"/>
      <c r="IQ217" s="2297"/>
      <c r="IR217" s="2297"/>
      <c r="IS217" s="2297"/>
      <c r="IT217" s="2297"/>
      <c r="IU217" s="2297"/>
      <c r="IV217" s="2297"/>
    </row>
    <row r="218" spans="3:256">
      <c r="C218" s="2298"/>
      <c r="D218" s="2298"/>
      <c r="E218" s="2298"/>
      <c r="F218" s="2298"/>
      <c r="G218" s="2298"/>
      <c r="H218" s="2298"/>
      <c r="AC218" s="2297"/>
      <c r="AD218" s="2297"/>
      <c r="AE218" s="2297"/>
      <c r="AF218" s="2297"/>
      <c r="AG218" s="2297"/>
      <c r="AH218" s="2297"/>
      <c r="AI218" s="2297"/>
      <c r="AJ218" s="2297"/>
      <c r="AK218" s="2297"/>
      <c r="AL218" s="2297"/>
      <c r="AM218" s="2297"/>
      <c r="AN218" s="2297"/>
      <c r="AO218" s="2297"/>
      <c r="AP218" s="2297"/>
      <c r="AQ218" s="2297"/>
      <c r="AR218" s="2297"/>
      <c r="AS218" s="2297"/>
      <c r="AT218" s="2297"/>
      <c r="AU218" s="2297"/>
      <c r="AV218" s="2297"/>
      <c r="AW218" s="2297"/>
      <c r="AX218" s="2297"/>
      <c r="AY218" s="2297"/>
      <c r="AZ218" s="2297"/>
      <c r="BA218" s="2297"/>
      <c r="BB218" s="2297"/>
      <c r="BC218" s="2297"/>
      <c r="BD218" s="2297"/>
      <c r="BE218" s="2297"/>
      <c r="BF218" s="2297"/>
      <c r="BG218" s="2297"/>
      <c r="BH218" s="2297"/>
      <c r="BI218" s="2297"/>
      <c r="BJ218" s="2297"/>
      <c r="BK218" s="2297"/>
      <c r="BL218" s="2297"/>
      <c r="BM218" s="2297"/>
      <c r="BN218" s="2297"/>
      <c r="BO218" s="2297"/>
      <c r="BP218" s="2297"/>
      <c r="BQ218" s="2297"/>
      <c r="BR218" s="2297"/>
      <c r="BS218" s="2297"/>
      <c r="BT218" s="2297"/>
      <c r="BU218" s="2297"/>
      <c r="BV218" s="2297"/>
      <c r="BW218" s="2297"/>
      <c r="BX218" s="2297"/>
      <c r="BY218" s="2297"/>
      <c r="BZ218" s="2297"/>
      <c r="CA218" s="2297"/>
      <c r="CB218" s="2297"/>
      <c r="CC218" s="2297"/>
      <c r="CD218" s="2297"/>
      <c r="CE218" s="2297"/>
      <c r="CF218" s="2297"/>
      <c r="CG218" s="2297"/>
      <c r="CH218" s="2297"/>
      <c r="CI218" s="2297"/>
      <c r="CJ218" s="2297"/>
      <c r="CK218" s="2297"/>
      <c r="CL218" s="2297"/>
      <c r="CM218" s="2297"/>
      <c r="CN218" s="2297"/>
      <c r="CO218" s="2297"/>
      <c r="CP218" s="2297"/>
      <c r="CQ218" s="2297"/>
      <c r="CR218" s="2297"/>
      <c r="CS218" s="2297"/>
      <c r="CT218" s="2297"/>
      <c r="CU218" s="2297"/>
      <c r="CV218" s="2297"/>
      <c r="CW218" s="2297"/>
      <c r="CX218" s="2297"/>
      <c r="CY218" s="2297"/>
      <c r="CZ218" s="2297"/>
      <c r="DA218" s="2297"/>
      <c r="DB218" s="2297"/>
      <c r="DC218" s="2297"/>
      <c r="DD218" s="2297"/>
      <c r="DE218" s="2297"/>
      <c r="DF218" s="2297"/>
      <c r="DG218" s="2297"/>
      <c r="DH218" s="2297"/>
      <c r="DI218" s="2297"/>
      <c r="DJ218" s="2297"/>
      <c r="DK218" s="2297"/>
      <c r="DL218" s="2297"/>
      <c r="DM218" s="2297"/>
      <c r="DN218" s="2297"/>
      <c r="DO218" s="2297"/>
      <c r="DP218" s="2297"/>
      <c r="DQ218" s="2297"/>
      <c r="DR218" s="2297"/>
      <c r="DS218" s="2297"/>
      <c r="DT218" s="2297"/>
      <c r="DU218" s="2297"/>
      <c r="DV218" s="2297"/>
      <c r="DW218" s="2297"/>
      <c r="DX218" s="2297"/>
      <c r="DY218" s="2297"/>
      <c r="DZ218" s="2297"/>
      <c r="EA218" s="2297"/>
      <c r="EB218" s="2297"/>
      <c r="EC218" s="2297"/>
      <c r="ED218" s="2297"/>
      <c r="EE218" s="2297"/>
      <c r="EF218" s="2297"/>
      <c r="EG218" s="2297"/>
      <c r="EH218" s="2297"/>
      <c r="EI218" s="2297"/>
      <c r="EJ218" s="2297"/>
      <c r="EK218" s="2297"/>
      <c r="EL218" s="2297"/>
      <c r="EM218" s="2297"/>
      <c r="EN218" s="2297"/>
      <c r="EO218" s="2297"/>
      <c r="EP218" s="2297"/>
      <c r="EQ218" s="2297"/>
      <c r="ER218" s="2297"/>
      <c r="ES218" s="2297"/>
      <c r="ET218" s="2297"/>
      <c r="EU218" s="2297"/>
      <c r="EV218" s="2297"/>
      <c r="EW218" s="2297"/>
      <c r="EX218" s="2297"/>
      <c r="EY218" s="2297"/>
      <c r="EZ218" s="2297"/>
      <c r="FA218" s="2297"/>
      <c r="FB218" s="2297"/>
      <c r="FC218" s="2297"/>
      <c r="FD218" s="2297"/>
      <c r="FE218" s="2297"/>
      <c r="FF218" s="2297"/>
      <c r="FG218" s="2297"/>
      <c r="FH218" s="2297"/>
      <c r="FI218" s="2297"/>
      <c r="FJ218" s="2297"/>
      <c r="FK218" s="2297"/>
      <c r="FL218" s="2297"/>
      <c r="FM218" s="2297"/>
      <c r="FN218" s="2297"/>
      <c r="FO218" s="2297"/>
      <c r="FP218" s="2297"/>
      <c r="FQ218" s="2297"/>
      <c r="FR218" s="2297"/>
      <c r="FS218" s="2297"/>
      <c r="FT218" s="2297"/>
      <c r="FU218" s="2297"/>
      <c r="FV218" s="2297"/>
      <c r="FW218" s="2297"/>
      <c r="FX218" s="2297"/>
      <c r="FY218" s="2297"/>
      <c r="FZ218" s="2297"/>
      <c r="GA218" s="2297"/>
      <c r="GB218" s="2297"/>
      <c r="GC218" s="2297"/>
      <c r="GD218" s="2297"/>
      <c r="GE218" s="2297"/>
      <c r="GF218" s="2297"/>
      <c r="GG218" s="2297"/>
      <c r="GH218" s="2297"/>
      <c r="GI218" s="2297"/>
      <c r="GJ218" s="2297"/>
      <c r="GK218" s="2297"/>
      <c r="GL218" s="2297"/>
      <c r="GM218" s="2297"/>
      <c r="GN218" s="2297"/>
      <c r="GO218" s="2297"/>
      <c r="GP218" s="2297"/>
      <c r="GQ218" s="2297"/>
      <c r="GR218" s="2297"/>
      <c r="GS218" s="2297"/>
      <c r="GT218" s="2297"/>
      <c r="GU218" s="2297"/>
      <c r="GV218" s="2297"/>
      <c r="GW218" s="2297"/>
      <c r="GX218" s="2297"/>
      <c r="GY218" s="2297"/>
      <c r="GZ218" s="2297"/>
      <c r="HA218" s="2297"/>
      <c r="HB218" s="2297"/>
      <c r="HC218" s="2297"/>
      <c r="HD218" s="2297"/>
      <c r="HE218" s="2297"/>
      <c r="HF218" s="2297"/>
      <c r="HG218" s="2297"/>
      <c r="HH218" s="2297"/>
      <c r="HI218" s="2297"/>
      <c r="HJ218" s="2297"/>
      <c r="HK218" s="2297"/>
      <c r="HL218" s="2297"/>
      <c r="HM218" s="2297"/>
      <c r="HN218" s="2297"/>
      <c r="HO218" s="2297"/>
      <c r="HP218" s="2297"/>
      <c r="HQ218" s="2297"/>
      <c r="HR218" s="2297"/>
      <c r="HS218" s="2297"/>
      <c r="HT218" s="2297"/>
      <c r="HU218" s="2297"/>
      <c r="HV218" s="2297"/>
      <c r="HW218" s="2297"/>
      <c r="HX218" s="2297"/>
      <c r="HY218" s="2297"/>
      <c r="HZ218" s="2297"/>
      <c r="IA218" s="2297"/>
      <c r="IB218" s="2297"/>
      <c r="IC218" s="2297"/>
      <c r="ID218" s="2297"/>
      <c r="IE218" s="2297"/>
      <c r="IF218" s="2297"/>
      <c r="IG218" s="2297"/>
      <c r="IH218" s="2297"/>
      <c r="II218" s="2297"/>
      <c r="IJ218" s="2297"/>
      <c r="IK218" s="2297"/>
      <c r="IL218" s="2297"/>
      <c r="IM218" s="2297"/>
      <c r="IN218" s="2297"/>
      <c r="IO218" s="2297"/>
      <c r="IP218" s="2297"/>
      <c r="IQ218" s="2297"/>
      <c r="IR218" s="2297"/>
      <c r="IS218" s="2297"/>
      <c r="IT218" s="2297"/>
      <c r="IU218" s="2297"/>
      <c r="IV218" s="2297"/>
    </row>
    <row r="219" spans="3:256">
      <c r="C219" s="2298"/>
      <c r="D219" s="2298"/>
      <c r="E219" s="2298"/>
      <c r="F219" s="2298"/>
      <c r="G219" s="2298"/>
      <c r="H219" s="2298"/>
      <c r="AC219" s="2297"/>
      <c r="AD219" s="2297"/>
      <c r="AE219" s="2297"/>
      <c r="AF219" s="2297"/>
      <c r="AG219" s="2297"/>
      <c r="AH219" s="2297"/>
      <c r="AI219" s="2297"/>
      <c r="AJ219" s="2297"/>
      <c r="AK219" s="2297"/>
      <c r="AL219" s="2297"/>
      <c r="AM219" s="2297"/>
      <c r="AN219" s="2297"/>
      <c r="AO219" s="2297"/>
      <c r="AP219" s="2297"/>
      <c r="AQ219" s="2297"/>
      <c r="AR219" s="2297"/>
      <c r="AS219" s="2297"/>
      <c r="AT219" s="2297"/>
      <c r="AU219" s="2297"/>
      <c r="AV219" s="2297"/>
      <c r="AW219" s="2297"/>
      <c r="AX219" s="2297"/>
      <c r="AY219" s="2297"/>
      <c r="AZ219" s="2297"/>
      <c r="BA219" s="2297"/>
      <c r="BB219" s="2297"/>
      <c r="BC219" s="2297"/>
      <c r="BD219" s="2297"/>
      <c r="BE219" s="2297"/>
      <c r="BF219" s="2297"/>
      <c r="BG219" s="2297"/>
      <c r="BH219" s="2297"/>
      <c r="BI219" s="2297"/>
      <c r="BJ219" s="2297"/>
      <c r="BK219" s="2297"/>
      <c r="BL219" s="2297"/>
      <c r="BM219" s="2297"/>
      <c r="BN219" s="2297"/>
      <c r="BO219" s="2297"/>
      <c r="BP219" s="2297"/>
      <c r="BQ219" s="2297"/>
      <c r="BR219" s="2297"/>
      <c r="BS219" s="2297"/>
      <c r="BT219" s="2297"/>
      <c r="BU219" s="2297"/>
      <c r="BV219" s="2297"/>
      <c r="BW219" s="2297"/>
      <c r="BX219" s="2297"/>
      <c r="BY219" s="2297"/>
      <c r="BZ219" s="2297"/>
      <c r="CA219" s="2297"/>
      <c r="CB219" s="2297"/>
      <c r="CC219" s="2297"/>
      <c r="CD219" s="2297"/>
      <c r="CE219" s="2297"/>
      <c r="CF219" s="2297"/>
      <c r="CG219" s="2297"/>
      <c r="CH219" s="2297"/>
      <c r="CI219" s="2297"/>
      <c r="CJ219" s="2297"/>
      <c r="CK219" s="2297"/>
      <c r="CL219" s="2297"/>
      <c r="CM219" s="2297"/>
      <c r="CN219" s="2297"/>
      <c r="CO219" s="2297"/>
      <c r="CP219" s="2297"/>
      <c r="CQ219" s="2297"/>
      <c r="CR219" s="2297"/>
      <c r="CS219" s="2297"/>
      <c r="CT219" s="2297"/>
      <c r="CU219" s="2297"/>
      <c r="CV219" s="2297"/>
      <c r="CW219" s="2297"/>
      <c r="CX219" s="2297"/>
      <c r="CY219" s="2297"/>
      <c r="CZ219" s="2297"/>
      <c r="DA219" s="2297"/>
      <c r="DB219" s="2297"/>
      <c r="DC219" s="2297"/>
      <c r="DD219" s="2297"/>
      <c r="DE219" s="2297"/>
      <c r="DF219" s="2297"/>
      <c r="DG219" s="2297"/>
      <c r="DH219" s="2297"/>
      <c r="DI219" s="2297"/>
      <c r="DJ219" s="2297"/>
      <c r="DK219" s="2297"/>
      <c r="DL219" s="2297"/>
      <c r="DM219" s="2297"/>
      <c r="DN219" s="2297"/>
      <c r="DO219" s="2297"/>
      <c r="DP219" s="2297"/>
      <c r="DQ219" s="2297"/>
      <c r="DR219" s="2297"/>
      <c r="DS219" s="2297"/>
      <c r="DT219" s="2297"/>
      <c r="DU219" s="2297"/>
      <c r="DV219" s="2297"/>
      <c r="DW219" s="2297"/>
      <c r="DX219" s="2297"/>
      <c r="DY219" s="2297"/>
      <c r="DZ219" s="2297"/>
      <c r="EA219" s="2297"/>
      <c r="EB219" s="2297"/>
      <c r="EC219" s="2297"/>
      <c r="ED219" s="2297"/>
      <c r="EE219" s="2297"/>
      <c r="EF219" s="2297"/>
      <c r="EG219" s="2297"/>
      <c r="EH219" s="2297"/>
      <c r="EI219" s="2297"/>
      <c r="EJ219" s="2297"/>
      <c r="EK219" s="2297"/>
      <c r="EL219" s="2297"/>
      <c r="EM219" s="2297"/>
      <c r="EN219" s="2297"/>
      <c r="EO219" s="2297"/>
      <c r="EP219" s="2297"/>
      <c r="EQ219" s="2297"/>
      <c r="ER219" s="2297"/>
      <c r="ES219" s="2297"/>
      <c r="ET219" s="2297"/>
      <c r="EU219" s="2297"/>
      <c r="EV219" s="2297"/>
      <c r="EW219" s="2297"/>
      <c r="EX219" s="2297"/>
      <c r="EY219" s="2297"/>
      <c r="EZ219" s="2297"/>
      <c r="FA219" s="2297"/>
      <c r="FB219" s="2297"/>
      <c r="FC219" s="2297"/>
      <c r="FD219" s="2297"/>
      <c r="FE219" s="2297"/>
      <c r="FF219" s="2297"/>
      <c r="FG219" s="2297"/>
      <c r="FH219" s="2297"/>
      <c r="FI219" s="2297"/>
      <c r="FJ219" s="2297"/>
      <c r="FK219" s="2297"/>
      <c r="FL219" s="2297"/>
      <c r="FM219" s="2297"/>
      <c r="FN219" s="2297"/>
      <c r="FO219" s="2297"/>
      <c r="FP219" s="2297"/>
      <c r="FQ219" s="2297"/>
      <c r="FR219" s="2297"/>
      <c r="FS219" s="2297"/>
      <c r="FT219" s="2297"/>
      <c r="FU219" s="2297"/>
      <c r="FV219" s="2297"/>
      <c r="FW219" s="2297"/>
      <c r="FX219" s="2297"/>
      <c r="FY219" s="2297"/>
      <c r="FZ219" s="2297"/>
      <c r="GA219" s="2297"/>
      <c r="GB219" s="2297"/>
      <c r="GC219" s="2297"/>
      <c r="GD219" s="2297"/>
      <c r="GE219" s="2297"/>
      <c r="GF219" s="2297"/>
      <c r="GG219" s="2297"/>
      <c r="GH219" s="2297"/>
      <c r="GI219" s="2297"/>
      <c r="GJ219" s="2297"/>
      <c r="GK219" s="2297"/>
      <c r="GL219" s="2297"/>
      <c r="GM219" s="2297"/>
      <c r="GN219" s="2297"/>
      <c r="GO219" s="2297"/>
      <c r="GP219" s="2297"/>
      <c r="GQ219" s="2297"/>
      <c r="GR219" s="2297"/>
      <c r="GS219" s="2297"/>
      <c r="GT219" s="2297"/>
      <c r="GU219" s="2297"/>
      <c r="GV219" s="2297"/>
      <c r="GW219" s="2297"/>
      <c r="GX219" s="2297"/>
      <c r="GY219" s="2297"/>
      <c r="GZ219" s="2297"/>
      <c r="HA219" s="2297"/>
      <c r="HB219" s="2297"/>
      <c r="HC219" s="2297"/>
      <c r="HD219" s="2297"/>
      <c r="HE219" s="2297"/>
      <c r="HF219" s="2297"/>
      <c r="HG219" s="2297"/>
      <c r="HH219" s="2297"/>
      <c r="HI219" s="2297"/>
      <c r="HJ219" s="2297"/>
      <c r="HK219" s="2297"/>
      <c r="HL219" s="2297"/>
      <c r="HM219" s="2297"/>
      <c r="HN219" s="2297"/>
      <c r="HO219" s="2297"/>
      <c r="HP219" s="2297"/>
      <c r="HQ219" s="2297"/>
      <c r="HR219" s="2297"/>
      <c r="HS219" s="2297"/>
      <c r="HT219" s="2297"/>
      <c r="HU219" s="2297"/>
      <c r="HV219" s="2297"/>
      <c r="HW219" s="2297"/>
      <c r="HX219" s="2297"/>
      <c r="HY219" s="2297"/>
      <c r="HZ219" s="2297"/>
      <c r="IA219" s="2297"/>
      <c r="IB219" s="2297"/>
      <c r="IC219" s="2297"/>
      <c r="ID219" s="2297"/>
      <c r="IE219" s="2297"/>
      <c r="IF219" s="2297"/>
      <c r="IG219" s="2297"/>
      <c r="IH219" s="2297"/>
      <c r="II219" s="2297"/>
      <c r="IJ219" s="2297"/>
      <c r="IK219" s="2297"/>
      <c r="IL219" s="2297"/>
      <c r="IM219" s="2297"/>
      <c r="IN219" s="2297"/>
      <c r="IO219" s="2297"/>
      <c r="IP219" s="2297"/>
      <c r="IQ219" s="2297"/>
      <c r="IR219" s="2297"/>
      <c r="IS219" s="2297"/>
      <c r="IT219" s="2297"/>
      <c r="IU219" s="2297"/>
      <c r="IV219" s="2297"/>
    </row>
    <row r="220" spans="3:256">
      <c r="C220" s="2298"/>
      <c r="D220" s="2298"/>
      <c r="E220" s="2298"/>
      <c r="F220" s="2298"/>
      <c r="G220" s="2298"/>
      <c r="H220" s="2298"/>
      <c r="AC220" s="2297"/>
      <c r="AD220" s="2297"/>
      <c r="AE220" s="2297"/>
      <c r="AF220" s="2297"/>
      <c r="AG220" s="2297"/>
      <c r="AH220" s="2297"/>
      <c r="AI220" s="2297"/>
      <c r="AJ220" s="2297"/>
      <c r="AK220" s="2297"/>
      <c r="AL220" s="2297"/>
      <c r="AM220" s="2297"/>
      <c r="AN220" s="2297"/>
      <c r="AO220" s="2297"/>
      <c r="AP220" s="2297"/>
      <c r="AQ220" s="2297"/>
      <c r="AR220" s="2297"/>
      <c r="AS220" s="2297"/>
      <c r="AT220" s="2297"/>
      <c r="AU220" s="2297"/>
      <c r="AV220" s="2297"/>
      <c r="AW220" s="2297"/>
      <c r="AX220" s="2297"/>
      <c r="AY220" s="2297"/>
      <c r="AZ220" s="2297"/>
      <c r="BA220" s="2297"/>
      <c r="BB220" s="2297"/>
      <c r="BC220" s="2297"/>
      <c r="BD220" s="2297"/>
      <c r="BE220" s="2297"/>
      <c r="BF220" s="2297"/>
      <c r="BG220" s="2297"/>
      <c r="BH220" s="2297"/>
      <c r="BI220" s="2297"/>
      <c r="BJ220" s="2297"/>
      <c r="BK220" s="2297"/>
      <c r="BL220" s="2297"/>
      <c r="BM220" s="2297"/>
      <c r="BN220" s="2297"/>
      <c r="BO220" s="2297"/>
      <c r="BP220" s="2297"/>
      <c r="BQ220" s="2297"/>
      <c r="BR220" s="2297"/>
      <c r="BS220" s="2297"/>
      <c r="BT220" s="2297"/>
      <c r="BU220" s="2297"/>
      <c r="BV220" s="2297"/>
      <c r="BW220" s="2297"/>
      <c r="BX220" s="2297"/>
      <c r="BY220" s="2297"/>
      <c r="BZ220" s="2297"/>
      <c r="CA220" s="2297"/>
      <c r="CB220" s="2297"/>
      <c r="CC220" s="2297"/>
      <c r="CD220" s="2297"/>
      <c r="CE220" s="2297"/>
      <c r="CF220" s="2297"/>
      <c r="CG220" s="2297"/>
      <c r="CH220" s="2297"/>
      <c r="CI220" s="2297"/>
      <c r="CJ220" s="2297"/>
      <c r="CK220" s="2297"/>
      <c r="CL220" s="2297"/>
      <c r="CM220" s="2297"/>
      <c r="CN220" s="2297"/>
      <c r="CO220" s="2297"/>
      <c r="CP220" s="2297"/>
      <c r="CQ220" s="2297"/>
      <c r="CR220" s="2297"/>
      <c r="CS220" s="2297"/>
      <c r="CT220" s="2297"/>
      <c r="CU220" s="2297"/>
      <c r="CV220" s="2297"/>
      <c r="CW220" s="2297"/>
      <c r="CX220" s="2297"/>
      <c r="CY220" s="2297"/>
      <c r="CZ220" s="2297"/>
      <c r="DA220" s="2297"/>
      <c r="DB220" s="2297"/>
      <c r="DC220" s="2297"/>
      <c r="DD220" s="2297"/>
      <c r="DE220" s="2297"/>
      <c r="DF220" s="2297"/>
      <c r="DG220" s="2297"/>
      <c r="DH220" s="2297"/>
      <c r="DI220" s="2297"/>
      <c r="DJ220" s="2297"/>
      <c r="DK220" s="2297"/>
      <c r="DL220" s="2297"/>
      <c r="DM220" s="2297"/>
      <c r="DN220" s="2297"/>
      <c r="DO220" s="2297"/>
      <c r="DP220" s="2297"/>
      <c r="DQ220" s="2297"/>
      <c r="DR220" s="2297"/>
      <c r="DS220" s="2297"/>
      <c r="DT220" s="2297"/>
      <c r="DU220" s="2297"/>
      <c r="DV220" s="2297"/>
      <c r="DW220" s="2297"/>
      <c r="DX220" s="2297"/>
      <c r="DY220" s="2297"/>
      <c r="DZ220" s="2297"/>
      <c r="EA220" s="2297"/>
      <c r="EB220" s="2297"/>
      <c r="EC220" s="2297"/>
      <c r="ED220" s="2297"/>
      <c r="EE220" s="2297"/>
      <c r="EF220" s="2297"/>
      <c r="EG220" s="2297"/>
      <c r="EH220" s="2297"/>
      <c r="EI220" s="2297"/>
      <c r="EJ220" s="2297"/>
      <c r="EK220" s="2297"/>
      <c r="EL220" s="2297"/>
      <c r="EM220" s="2297"/>
      <c r="EN220" s="2297"/>
      <c r="EO220" s="2297"/>
      <c r="EP220" s="2297"/>
      <c r="EQ220" s="2297"/>
      <c r="ER220" s="2297"/>
      <c r="ES220" s="2297"/>
      <c r="ET220" s="2297"/>
      <c r="EU220" s="2297"/>
      <c r="EV220" s="2297"/>
      <c r="EW220" s="2297"/>
      <c r="EX220" s="2297"/>
      <c r="EY220" s="2297"/>
      <c r="EZ220" s="2297"/>
      <c r="FA220" s="2297"/>
      <c r="FB220" s="2297"/>
      <c r="FC220" s="2297"/>
      <c r="FD220" s="2297"/>
      <c r="FE220" s="2297"/>
      <c r="FF220" s="2297"/>
      <c r="FG220" s="2297"/>
      <c r="FH220" s="2297"/>
      <c r="FI220" s="2297"/>
      <c r="FJ220" s="2297"/>
      <c r="FK220" s="2297"/>
      <c r="FL220" s="2297"/>
      <c r="FM220" s="2297"/>
      <c r="FN220" s="2297"/>
      <c r="FO220" s="2297"/>
      <c r="FP220" s="2297"/>
      <c r="FQ220" s="2297"/>
      <c r="FR220" s="2297"/>
      <c r="FS220" s="2297"/>
      <c r="FT220" s="2297"/>
      <c r="FU220" s="2297"/>
      <c r="FV220" s="2297"/>
      <c r="FW220" s="2297"/>
      <c r="FX220" s="2297"/>
      <c r="FY220" s="2297"/>
      <c r="FZ220" s="2297"/>
      <c r="GA220" s="2297"/>
      <c r="GB220" s="2297"/>
      <c r="GC220" s="2297"/>
      <c r="GD220" s="2297"/>
      <c r="GE220" s="2297"/>
      <c r="GF220" s="2297"/>
      <c r="GG220" s="2297"/>
      <c r="GH220" s="2297"/>
      <c r="GI220" s="2297"/>
      <c r="GJ220" s="2297"/>
      <c r="GK220" s="2297"/>
      <c r="GL220" s="2297"/>
      <c r="GM220" s="2297"/>
      <c r="GN220" s="2297"/>
      <c r="GO220" s="2297"/>
      <c r="GP220" s="2297"/>
      <c r="GQ220" s="2297"/>
      <c r="GR220" s="2297"/>
      <c r="GS220" s="2297"/>
      <c r="GT220" s="2297"/>
      <c r="GU220" s="2297"/>
      <c r="GV220" s="2297"/>
      <c r="GW220" s="2297"/>
      <c r="GX220" s="2297"/>
      <c r="GY220" s="2297"/>
      <c r="GZ220" s="2297"/>
      <c r="HA220" s="2297"/>
      <c r="HB220" s="2297"/>
      <c r="HC220" s="2297"/>
      <c r="HD220" s="2297"/>
      <c r="HE220" s="2297"/>
      <c r="HF220" s="2297"/>
      <c r="HG220" s="2297"/>
      <c r="HH220" s="2297"/>
      <c r="HI220" s="2297"/>
      <c r="HJ220" s="2297"/>
      <c r="HK220" s="2297"/>
      <c r="HL220" s="2297"/>
      <c r="HM220" s="2297"/>
      <c r="HN220" s="2297"/>
      <c r="HO220" s="2297"/>
      <c r="HP220" s="2297"/>
      <c r="HQ220" s="2297"/>
      <c r="HR220" s="2297"/>
      <c r="HS220" s="2297"/>
      <c r="HT220" s="2297"/>
      <c r="HU220" s="2297"/>
      <c r="HV220" s="2297"/>
      <c r="HW220" s="2297"/>
      <c r="HX220" s="2297"/>
      <c r="HY220" s="2297"/>
      <c r="HZ220" s="2297"/>
      <c r="IA220" s="2297"/>
      <c r="IB220" s="2297"/>
      <c r="IC220" s="2297"/>
      <c r="ID220" s="2297"/>
      <c r="IE220" s="2297"/>
      <c r="IF220" s="2297"/>
      <c r="IG220" s="2297"/>
      <c r="IH220" s="2297"/>
      <c r="II220" s="2297"/>
      <c r="IJ220" s="2297"/>
      <c r="IK220" s="2297"/>
      <c r="IL220" s="2297"/>
      <c r="IM220" s="2297"/>
      <c r="IN220" s="2297"/>
      <c r="IO220" s="2297"/>
      <c r="IP220" s="2297"/>
      <c r="IQ220" s="2297"/>
      <c r="IR220" s="2297"/>
      <c r="IS220" s="2297"/>
      <c r="IT220" s="2297"/>
      <c r="IU220" s="2297"/>
      <c r="IV220" s="2297"/>
    </row>
    <row r="221" spans="3:256">
      <c r="C221" s="2298"/>
      <c r="D221" s="2298"/>
      <c r="E221" s="2298"/>
      <c r="F221" s="2298"/>
      <c r="G221" s="2298"/>
      <c r="H221" s="2298"/>
      <c r="AC221" s="2297"/>
      <c r="AD221" s="2297"/>
      <c r="AE221" s="2297"/>
      <c r="AF221" s="2297"/>
      <c r="AG221" s="2297"/>
      <c r="AH221" s="2297"/>
      <c r="AI221" s="2297"/>
      <c r="AJ221" s="2297"/>
      <c r="AK221" s="2297"/>
      <c r="AL221" s="2297"/>
      <c r="AM221" s="2297"/>
      <c r="AN221" s="2297"/>
      <c r="AO221" s="2297"/>
      <c r="AP221" s="2297"/>
      <c r="AQ221" s="2297"/>
      <c r="AR221" s="2297"/>
      <c r="AS221" s="2297"/>
      <c r="AT221" s="2297"/>
      <c r="AU221" s="2297"/>
      <c r="AV221" s="2297"/>
      <c r="AW221" s="2297"/>
      <c r="AX221" s="2297"/>
      <c r="AY221" s="2297"/>
      <c r="AZ221" s="2297"/>
      <c r="BA221" s="2297"/>
      <c r="BB221" s="2297"/>
      <c r="BC221" s="2297"/>
      <c r="BD221" s="2297"/>
      <c r="BE221" s="2297"/>
      <c r="BF221" s="2297"/>
      <c r="BG221" s="2297"/>
      <c r="BH221" s="2297"/>
      <c r="BI221" s="2297"/>
      <c r="BJ221" s="2297"/>
      <c r="BK221" s="2297"/>
      <c r="BL221" s="2297"/>
      <c r="BM221" s="2297"/>
      <c r="BN221" s="2297"/>
      <c r="BO221" s="2297"/>
      <c r="BP221" s="2297"/>
      <c r="BQ221" s="2297"/>
      <c r="BR221" s="2297"/>
      <c r="BS221" s="2297"/>
      <c r="BT221" s="2297"/>
      <c r="BU221" s="2297"/>
      <c r="BV221" s="2297"/>
      <c r="BW221" s="2297"/>
      <c r="BX221" s="2297"/>
      <c r="BY221" s="2297"/>
      <c r="BZ221" s="2297"/>
      <c r="CA221" s="2297"/>
      <c r="CB221" s="2297"/>
      <c r="CC221" s="2297"/>
      <c r="CD221" s="2297"/>
      <c r="CE221" s="2297"/>
      <c r="CF221" s="2297"/>
      <c r="CG221" s="2297"/>
      <c r="CH221" s="2297"/>
      <c r="CI221" s="2297"/>
      <c r="CJ221" s="2297"/>
      <c r="CK221" s="2297"/>
      <c r="CL221" s="2297"/>
      <c r="CM221" s="2297"/>
      <c r="CN221" s="2297"/>
      <c r="CO221" s="2297"/>
      <c r="CP221" s="2297"/>
      <c r="CQ221" s="2297"/>
      <c r="CR221" s="2297"/>
      <c r="CS221" s="2297"/>
      <c r="CT221" s="2297"/>
      <c r="CU221" s="2297"/>
      <c r="CV221" s="2297"/>
      <c r="CW221" s="2297"/>
      <c r="CX221" s="2297"/>
      <c r="CY221" s="2297"/>
      <c r="CZ221" s="2297"/>
      <c r="DA221" s="2297"/>
      <c r="DB221" s="2297"/>
      <c r="DC221" s="2297"/>
      <c r="DD221" s="2297"/>
      <c r="DE221" s="2297"/>
      <c r="DF221" s="2297"/>
      <c r="DG221" s="2297"/>
      <c r="DH221" s="2297"/>
      <c r="DI221" s="2297"/>
      <c r="DJ221" s="2297"/>
      <c r="DK221" s="2297"/>
      <c r="DL221" s="2297"/>
      <c r="DM221" s="2297"/>
      <c r="DN221" s="2297"/>
      <c r="DO221" s="2297"/>
      <c r="DP221" s="2297"/>
      <c r="DQ221" s="2297"/>
      <c r="DR221" s="2297"/>
      <c r="DS221" s="2297"/>
      <c r="DT221" s="2297"/>
      <c r="DU221" s="2297"/>
      <c r="DV221" s="2297"/>
      <c r="DW221" s="2297"/>
      <c r="DX221" s="2297"/>
      <c r="DY221" s="2297"/>
      <c r="DZ221" s="2297"/>
      <c r="EA221" s="2297"/>
      <c r="EB221" s="2297"/>
      <c r="EC221" s="2297"/>
      <c r="ED221" s="2297"/>
      <c r="EE221" s="2297"/>
      <c r="EF221" s="2297"/>
      <c r="EG221" s="2297"/>
      <c r="EH221" s="2297"/>
      <c r="EI221" s="2297"/>
      <c r="EJ221" s="2297"/>
      <c r="EK221" s="2297"/>
      <c r="EL221" s="2297"/>
      <c r="EM221" s="2297"/>
      <c r="EN221" s="2297"/>
      <c r="EO221" s="2297"/>
      <c r="EP221" s="2297"/>
      <c r="EQ221" s="2297"/>
      <c r="ER221" s="2297"/>
      <c r="ES221" s="2297"/>
      <c r="ET221" s="2297"/>
      <c r="EU221" s="2297"/>
      <c r="EV221" s="2297"/>
      <c r="EW221" s="2297"/>
      <c r="EX221" s="2297"/>
      <c r="EY221" s="2297"/>
      <c r="EZ221" s="2297"/>
      <c r="FA221" s="2297"/>
      <c r="FB221" s="2297"/>
      <c r="FC221" s="2297"/>
      <c r="FD221" s="2297"/>
      <c r="FE221" s="2297"/>
      <c r="FF221" s="2297"/>
      <c r="FG221" s="2297"/>
      <c r="FH221" s="2297"/>
      <c r="FI221" s="2297"/>
      <c r="FJ221" s="2297"/>
      <c r="FK221" s="2297"/>
      <c r="FL221" s="2297"/>
      <c r="FM221" s="2297"/>
      <c r="FN221" s="2297"/>
      <c r="FO221" s="2297"/>
      <c r="FP221" s="2297"/>
      <c r="FQ221" s="2297"/>
      <c r="FR221" s="2297"/>
      <c r="FS221" s="2297"/>
      <c r="FT221" s="2297"/>
      <c r="FU221" s="2297"/>
      <c r="FV221" s="2297"/>
      <c r="FW221" s="2297"/>
      <c r="FX221" s="2297"/>
      <c r="FY221" s="2297"/>
      <c r="FZ221" s="2297"/>
      <c r="GA221" s="2297"/>
      <c r="GB221" s="2297"/>
      <c r="GC221" s="2297"/>
      <c r="GD221" s="2297"/>
      <c r="GE221" s="2297"/>
      <c r="GF221" s="2297"/>
      <c r="GG221" s="2297"/>
      <c r="GH221" s="2297"/>
      <c r="GI221" s="2297"/>
      <c r="GJ221" s="2297"/>
      <c r="GK221" s="2297"/>
      <c r="GL221" s="2297"/>
      <c r="GM221" s="2297"/>
      <c r="GN221" s="2297"/>
      <c r="GO221" s="2297"/>
      <c r="GP221" s="2297"/>
      <c r="GQ221" s="2297"/>
      <c r="GR221" s="2297"/>
      <c r="GS221" s="2297"/>
      <c r="GT221" s="2297"/>
      <c r="GU221" s="2297"/>
      <c r="GV221" s="2297"/>
      <c r="GW221" s="2297"/>
      <c r="GX221" s="2297"/>
      <c r="GY221" s="2297"/>
      <c r="GZ221" s="2297"/>
      <c r="HA221" s="2297"/>
      <c r="HB221" s="2297"/>
      <c r="HC221" s="2297"/>
      <c r="HD221" s="2297"/>
      <c r="HE221" s="2297"/>
      <c r="HF221" s="2297"/>
      <c r="HG221" s="2297"/>
      <c r="HH221" s="2297"/>
      <c r="HI221" s="2297"/>
      <c r="HJ221" s="2297"/>
      <c r="HK221" s="2297"/>
      <c r="HL221" s="2297"/>
      <c r="HM221" s="2297"/>
      <c r="HN221" s="2297"/>
      <c r="HO221" s="2297"/>
      <c r="HP221" s="2297"/>
      <c r="HQ221" s="2297"/>
      <c r="HR221" s="2297"/>
      <c r="HS221" s="2297"/>
      <c r="HT221" s="2297"/>
      <c r="HU221" s="2297"/>
      <c r="HV221" s="2297"/>
      <c r="HW221" s="2297"/>
      <c r="HX221" s="2297"/>
      <c r="HY221" s="2297"/>
      <c r="HZ221" s="2297"/>
      <c r="IA221" s="2297"/>
      <c r="IB221" s="2297"/>
      <c r="IC221" s="2297"/>
      <c r="ID221" s="2297"/>
      <c r="IE221" s="2297"/>
      <c r="IF221" s="2297"/>
      <c r="IG221" s="2297"/>
      <c r="IH221" s="2297"/>
      <c r="II221" s="2297"/>
      <c r="IJ221" s="2297"/>
      <c r="IK221" s="2297"/>
      <c r="IL221" s="2297"/>
      <c r="IM221" s="2297"/>
      <c r="IN221" s="2297"/>
      <c r="IO221" s="2297"/>
      <c r="IP221" s="2297"/>
      <c r="IQ221" s="2297"/>
      <c r="IR221" s="2297"/>
      <c r="IS221" s="2297"/>
      <c r="IT221" s="2297"/>
      <c r="IU221" s="2297"/>
      <c r="IV221" s="2297"/>
    </row>
    <row r="222" spans="3:256">
      <c r="C222" s="2298"/>
      <c r="D222" s="2298"/>
      <c r="E222" s="2298"/>
      <c r="F222" s="2298"/>
      <c r="G222" s="2298"/>
      <c r="H222" s="2298"/>
      <c r="AC222" s="2297"/>
      <c r="AD222" s="2297"/>
      <c r="AE222" s="2297"/>
      <c r="AF222" s="2297"/>
      <c r="AG222" s="2297"/>
      <c r="AH222" s="2297"/>
      <c r="AI222" s="2297"/>
      <c r="AJ222" s="2297"/>
      <c r="AK222" s="2297"/>
      <c r="AL222" s="2297"/>
      <c r="AM222" s="2297"/>
      <c r="AN222" s="2297"/>
      <c r="AO222" s="2297"/>
      <c r="AP222" s="2297"/>
      <c r="AQ222" s="2297"/>
      <c r="AR222" s="2297"/>
      <c r="AS222" s="2297"/>
      <c r="AT222" s="2297"/>
      <c r="AU222" s="2297"/>
      <c r="AV222" s="2297"/>
      <c r="AW222" s="2297"/>
      <c r="AX222" s="2297"/>
      <c r="AY222" s="2297"/>
      <c r="AZ222" s="2297"/>
      <c r="BA222" s="2297"/>
      <c r="BB222" s="2297"/>
      <c r="BC222" s="2297"/>
      <c r="BD222" s="2297"/>
      <c r="BE222" s="2297"/>
      <c r="BF222" s="2297"/>
      <c r="BG222" s="2297"/>
      <c r="BH222" s="2297"/>
      <c r="BI222" s="2297"/>
      <c r="BJ222" s="2297"/>
      <c r="BK222" s="2297"/>
      <c r="BL222" s="2297"/>
      <c r="BM222" s="2297"/>
      <c r="BN222" s="2297"/>
      <c r="BO222" s="2297"/>
      <c r="BP222" s="2297"/>
      <c r="BQ222" s="2297"/>
      <c r="BR222" s="2297"/>
      <c r="BS222" s="2297"/>
      <c r="BT222" s="2297"/>
      <c r="BU222" s="2297"/>
      <c r="BV222" s="2297"/>
      <c r="BW222" s="2297"/>
      <c r="BX222" s="2297"/>
      <c r="BY222" s="2297"/>
      <c r="BZ222" s="2297"/>
      <c r="CA222" s="2297"/>
      <c r="CB222" s="2297"/>
      <c r="CC222" s="2297"/>
      <c r="CD222" s="2297"/>
      <c r="CE222" s="2297"/>
      <c r="CF222" s="2297"/>
      <c r="CG222" s="2297"/>
      <c r="CH222" s="2297"/>
      <c r="CI222" s="2297"/>
      <c r="CJ222" s="2297"/>
      <c r="CK222" s="2297"/>
      <c r="CL222" s="2297"/>
      <c r="CM222" s="2297"/>
      <c r="CN222" s="2297"/>
      <c r="CO222" s="2297"/>
      <c r="CP222" s="2297"/>
      <c r="CQ222" s="2297"/>
      <c r="CR222" s="2297"/>
      <c r="CS222" s="2297"/>
      <c r="CT222" s="2297"/>
      <c r="CU222" s="2297"/>
      <c r="CV222" s="2297"/>
      <c r="CW222" s="2297"/>
      <c r="CX222" s="2297"/>
      <c r="CY222" s="2297"/>
      <c r="CZ222" s="2297"/>
      <c r="DA222" s="2297"/>
      <c r="DB222" s="2297"/>
      <c r="DC222" s="2297"/>
      <c r="DD222" s="2297"/>
      <c r="DE222" s="2297"/>
      <c r="DF222" s="2297"/>
      <c r="DG222" s="2297"/>
      <c r="DH222" s="2297"/>
      <c r="DI222" s="2297"/>
      <c r="DJ222" s="2297"/>
      <c r="DK222" s="2297"/>
      <c r="DL222" s="2297"/>
      <c r="DM222" s="2297"/>
      <c r="DN222" s="2297"/>
      <c r="DO222" s="2297"/>
      <c r="DP222" s="2297"/>
      <c r="DQ222" s="2297"/>
      <c r="DR222" s="2297"/>
      <c r="DS222" s="2297"/>
      <c r="DT222" s="2297"/>
      <c r="DU222" s="2297"/>
      <c r="DV222" s="2297"/>
      <c r="DW222" s="2297"/>
      <c r="DX222" s="2297"/>
      <c r="DY222" s="2297"/>
      <c r="DZ222" s="2297"/>
      <c r="EA222" s="2297"/>
      <c r="EB222" s="2297"/>
      <c r="EC222" s="2297"/>
      <c r="ED222" s="2297"/>
      <c r="EE222" s="2297"/>
      <c r="EF222" s="2297"/>
      <c r="EG222" s="2297"/>
      <c r="EH222" s="2297"/>
      <c r="EI222" s="2297"/>
      <c r="EJ222" s="2297"/>
      <c r="EK222" s="2297"/>
      <c r="EL222" s="2297"/>
      <c r="EM222" s="2297"/>
      <c r="EN222" s="2297"/>
      <c r="EO222" s="2297"/>
      <c r="EP222" s="2297"/>
      <c r="EQ222" s="2297"/>
      <c r="ER222" s="2297"/>
      <c r="ES222" s="2297"/>
      <c r="ET222" s="2297"/>
      <c r="EU222" s="2297"/>
      <c r="EV222" s="2297"/>
      <c r="EW222" s="2297"/>
      <c r="EX222" s="2297"/>
      <c r="EY222" s="2297"/>
      <c r="EZ222" s="2297"/>
      <c r="FA222" s="2297"/>
      <c r="FB222" s="2297"/>
      <c r="FC222" s="2297"/>
      <c r="FD222" s="2297"/>
      <c r="FE222" s="2297"/>
      <c r="FF222" s="2297"/>
      <c r="FG222" s="2297"/>
      <c r="FH222" s="2297"/>
      <c r="FI222" s="2297"/>
      <c r="FJ222" s="2297"/>
      <c r="FK222" s="2297"/>
      <c r="FL222" s="2297"/>
      <c r="FM222" s="2297"/>
      <c r="FN222" s="2297"/>
      <c r="FO222" s="2297"/>
      <c r="FP222" s="2297"/>
      <c r="FQ222" s="2297"/>
      <c r="FR222" s="2297"/>
      <c r="FS222" s="2297"/>
      <c r="FT222" s="2297"/>
      <c r="FU222" s="2297"/>
      <c r="FV222" s="2297"/>
      <c r="FW222" s="2297"/>
      <c r="FX222" s="2297"/>
      <c r="FY222" s="2297"/>
      <c r="FZ222" s="2297"/>
      <c r="GA222" s="2297"/>
      <c r="GB222" s="2297"/>
      <c r="GC222" s="2297"/>
      <c r="GD222" s="2297"/>
      <c r="GE222" s="2297"/>
      <c r="GF222" s="2297"/>
      <c r="GG222" s="2297"/>
      <c r="GH222" s="2297"/>
      <c r="GI222" s="2297"/>
      <c r="GJ222" s="2297"/>
      <c r="GK222" s="2297"/>
      <c r="GL222" s="2297"/>
      <c r="GM222" s="2297"/>
      <c r="GN222" s="2297"/>
      <c r="GO222" s="2297"/>
      <c r="GP222" s="2297"/>
      <c r="GQ222" s="2297"/>
      <c r="GR222" s="2297"/>
      <c r="GS222" s="2297"/>
      <c r="GT222" s="2297"/>
      <c r="GU222" s="2297"/>
      <c r="GV222" s="2297"/>
      <c r="GW222" s="2297"/>
      <c r="GX222" s="2297"/>
      <c r="GY222" s="2297"/>
      <c r="GZ222" s="2297"/>
      <c r="HA222" s="2297"/>
      <c r="HB222" s="2297"/>
      <c r="HC222" s="2297"/>
      <c r="HD222" s="2297"/>
      <c r="HE222" s="2297"/>
      <c r="HF222" s="2297"/>
      <c r="HG222" s="2297"/>
      <c r="HH222" s="2297"/>
      <c r="HI222" s="2297"/>
      <c r="HJ222" s="2297"/>
      <c r="HK222" s="2297"/>
      <c r="HL222" s="2297"/>
      <c r="HM222" s="2297"/>
      <c r="HN222" s="2297"/>
      <c r="HO222" s="2297"/>
      <c r="HP222" s="2297"/>
      <c r="HQ222" s="2297"/>
      <c r="HR222" s="2297"/>
      <c r="HS222" s="2297"/>
      <c r="HT222" s="2297"/>
      <c r="HU222" s="2297"/>
      <c r="HV222" s="2297"/>
      <c r="HW222" s="2297"/>
      <c r="HX222" s="2297"/>
      <c r="HY222" s="2297"/>
      <c r="HZ222" s="2297"/>
      <c r="IA222" s="2297"/>
      <c r="IB222" s="2297"/>
      <c r="IC222" s="2297"/>
      <c r="ID222" s="2297"/>
      <c r="IE222" s="2297"/>
      <c r="IF222" s="2297"/>
      <c r="IG222" s="2297"/>
      <c r="IH222" s="2297"/>
      <c r="II222" s="2297"/>
      <c r="IJ222" s="2297"/>
      <c r="IK222" s="2297"/>
      <c r="IL222" s="2297"/>
      <c r="IM222" s="2297"/>
      <c r="IN222" s="2297"/>
      <c r="IO222" s="2297"/>
      <c r="IP222" s="2297"/>
      <c r="IQ222" s="2297"/>
      <c r="IR222" s="2297"/>
      <c r="IS222" s="2297"/>
      <c r="IT222" s="2297"/>
      <c r="IU222" s="2297"/>
      <c r="IV222" s="2297"/>
    </row>
    <row r="223" spans="3:256">
      <c r="C223" s="2298"/>
      <c r="D223" s="2298"/>
      <c r="E223" s="2298"/>
      <c r="F223" s="2298"/>
      <c r="G223" s="2298"/>
      <c r="H223" s="2298"/>
      <c r="AC223" s="2297"/>
      <c r="AD223" s="2297"/>
      <c r="AE223" s="2297"/>
      <c r="AF223" s="2297"/>
      <c r="AG223" s="2297"/>
      <c r="AH223" s="2297"/>
      <c r="AI223" s="2297"/>
      <c r="AJ223" s="2297"/>
      <c r="AK223" s="2297"/>
      <c r="AL223" s="2297"/>
      <c r="AM223" s="2297"/>
      <c r="AN223" s="2297"/>
      <c r="AO223" s="2297"/>
      <c r="AP223" s="2297"/>
      <c r="AQ223" s="2297"/>
      <c r="AR223" s="2297"/>
      <c r="AS223" s="2297"/>
      <c r="AT223" s="2297"/>
      <c r="AU223" s="2297"/>
      <c r="AV223" s="2297"/>
      <c r="AW223" s="2297"/>
      <c r="AX223" s="2297"/>
      <c r="AY223" s="2297"/>
      <c r="AZ223" s="2297"/>
      <c r="BA223" s="2297"/>
      <c r="BB223" s="2297"/>
      <c r="BC223" s="2297"/>
      <c r="BD223" s="2297"/>
      <c r="BE223" s="2297"/>
      <c r="BF223" s="2297"/>
      <c r="BG223" s="2297"/>
      <c r="BH223" s="2297"/>
      <c r="BI223" s="2297"/>
      <c r="BJ223" s="2297"/>
      <c r="BK223" s="2297"/>
      <c r="BL223" s="2297"/>
      <c r="BM223" s="2297"/>
      <c r="BN223" s="2297"/>
      <c r="BO223" s="2297"/>
      <c r="BP223" s="2297"/>
      <c r="BQ223" s="2297"/>
      <c r="BR223" s="2297"/>
      <c r="BS223" s="2297"/>
      <c r="BT223" s="2297"/>
      <c r="BU223" s="2297"/>
      <c r="BV223" s="2297"/>
      <c r="BW223" s="2297"/>
      <c r="BX223" s="2297"/>
      <c r="BY223" s="2297"/>
      <c r="BZ223" s="2297"/>
      <c r="CA223" s="2297"/>
      <c r="CB223" s="2297"/>
      <c r="CC223" s="2297"/>
      <c r="CD223" s="2297"/>
      <c r="CE223" s="2297"/>
      <c r="CF223" s="2297"/>
      <c r="CG223" s="2297"/>
      <c r="CH223" s="2297"/>
      <c r="CI223" s="2297"/>
      <c r="CJ223" s="2297"/>
      <c r="CK223" s="2297"/>
      <c r="CL223" s="2297"/>
      <c r="CM223" s="2297"/>
      <c r="CN223" s="2297"/>
      <c r="CO223" s="2297"/>
      <c r="CP223" s="2297"/>
      <c r="CQ223" s="2297"/>
      <c r="CR223" s="2297"/>
      <c r="CS223" s="2297"/>
      <c r="CT223" s="2297"/>
      <c r="CU223" s="2297"/>
      <c r="CV223" s="2297"/>
      <c r="CW223" s="2297"/>
      <c r="CX223" s="2297"/>
      <c r="CY223" s="2297"/>
      <c r="CZ223" s="2297"/>
      <c r="DA223" s="2297"/>
      <c r="DB223" s="2297"/>
      <c r="DC223" s="2297"/>
      <c r="DD223" s="2297"/>
      <c r="DE223" s="2297"/>
      <c r="DF223" s="2297"/>
      <c r="DG223" s="2297"/>
      <c r="DH223" s="2297"/>
      <c r="DI223" s="2297"/>
      <c r="DJ223" s="2297"/>
      <c r="DK223" s="2297"/>
      <c r="DL223" s="2297"/>
      <c r="DM223" s="2297"/>
      <c r="DN223" s="2297"/>
      <c r="DO223" s="2297"/>
      <c r="DP223" s="2297"/>
      <c r="DQ223" s="2297"/>
      <c r="DR223" s="2297"/>
      <c r="DS223" s="2297"/>
      <c r="DT223" s="2297"/>
      <c r="DU223" s="2297"/>
      <c r="DV223" s="2297"/>
      <c r="DW223" s="2297"/>
      <c r="DX223" s="2297"/>
      <c r="DY223" s="2297"/>
      <c r="DZ223" s="2297"/>
      <c r="EA223" s="2297"/>
      <c r="EB223" s="2297"/>
      <c r="EC223" s="2297"/>
      <c r="ED223" s="2297"/>
      <c r="EE223" s="2297"/>
      <c r="EF223" s="2297"/>
      <c r="EG223" s="2297"/>
      <c r="EH223" s="2297"/>
      <c r="EI223" s="2297"/>
      <c r="EJ223" s="2297"/>
      <c r="EK223" s="2297"/>
      <c r="EL223" s="2297"/>
      <c r="EM223" s="2297"/>
      <c r="EN223" s="2297"/>
      <c r="EO223" s="2297"/>
      <c r="EP223" s="2297"/>
      <c r="EQ223" s="2297"/>
      <c r="ER223" s="2297"/>
      <c r="ES223" s="2297"/>
      <c r="ET223" s="2297"/>
      <c r="EU223" s="2297"/>
      <c r="EV223" s="2297"/>
      <c r="EW223" s="2297"/>
      <c r="EX223" s="2297"/>
      <c r="EY223" s="2297"/>
      <c r="EZ223" s="2297"/>
      <c r="FA223" s="2297"/>
      <c r="FB223" s="2297"/>
      <c r="FC223" s="2297"/>
      <c r="FD223" s="2297"/>
      <c r="FE223" s="2297"/>
      <c r="FF223" s="2297"/>
      <c r="FG223" s="2297"/>
      <c r="FH223" s="2297"/>
      <c r="FI223" s="2297"/>
      <c r="FJ223" s="2297"/>
      <c r="FK223" s="2297"/>
      <c r="FL223" s="2297"/>
      <c r="FM223" s="2297"/>
      <c r="FN223" s="2297"/>
      <c r="FO223" s="2297"/>
      <c r="FP223" s="2297"/>
      <c r="FQ223" s="2297"/>
      <c r="FR223" s="2297"/>
      <c r="FS223" s="2297"/>
      <c r="FT223" s="2297"/>
      <c r="FU223" s="2297"/>
      <c r="FV223" s="2297"/>
      <c r="FW223" s="2297"/>
      <c r="FX223" s="2297"/>
      <c r="FY223" s="2297"/>
      <c r="FZ223" s="2297"/>
      <c r="GA223" s="2297"/>
      <c r="GB223" s="2297"/>
      <c r="GC223" s="2297"/>
      <c r="GD223" s="2297"/>
      <c r="GE223" s="2297"/>
      <c r="GF223" s="2297"/>
      <c r="GG223" s="2297"/>
      <c r="GH223" s="2297"/>
      <c r="GI223" s="2297"/>
      <c r="GJ223" s="2297"/>
      <c r="GK223" s="2297"/>
      <c r="GL223" s="2297"/>
      <c r="GM223" s="2297"/>
      <c r="GN223" s="2297"/>
      <c r="GO223" s="2297"/>
      <c r="GP223" s="2297"/>
      <c r="GQ223" s="2297"/>
      <c r="GR223" s="2297"/>
      <c r="GS223" s="2297"/>
      <c r="GT223" s="2297"/>
      <c r="GU223" s="2297"/>
      <c r="GV223" s="2297"/>
      <c r="GW223" s="2297"/>
      <c r="GX223" s="2297"/>
      <c r="GY223" s="2297"/>
      <c r="GZ223" s="2297"/>
      <c r="HA223" s="2297"/>
      <c r="HB223" s="2297"/>
      <c r="HC223" s="2297"/>
      <c r="HD223" s="2297"/>
      <c r="HE223" s="2297"/>
      <c r="HF223" s="2297"/>
      <c r="HG223" s="2297"/>
      <c r="HH223" s="2297"/>
      <c r="HI223" s="2297"/>
      <c r="HJ223" s="2297"/>
      <c r="HK223" s="2297"/>
      <c r="HL223" s="2297"/>
      <c r="HM223" s="2297"/>
      <c r="HN223" s="2297"/>
      <c r="HO223" s="2297"/>
      <c r="HP223" s="2297"/>
      <c r="HQ223" s="2297"/>
      <c r="HR223" s="2297"/>
      <c r="HS223" s="2297"/>
      <c r="HT223" s="2297"/>
      <c r="HU223" s="2297"/>
      <c r="HV223" s="2297"/>
      <c r="HW223" s="2297"/>
      <c r="HX223" s="2297"/>
      <c r="HY223" s="2297"/>
      <c r="HZ223" s="2297"/>
      <c r="IA223" s="2297"/>
      <c r="IB223" s="2297"/>
      <c r="IC223" s="2297"/>
      <c r="ID223" s="2297"/>
      <c r="IE223" s="2297"/>
      <c r="IF223" s="2297"/>
      <c r="IG223" s="2297"/>
      <c r="IH223" s="2297"/>
      <c r="II223" s="2297"/>
      <c r="IJ223" s="2297"/>
      <c r="IK223" s="2297"/>
      <c r="IL223" s="2297"/>
      <c r="IM223" s="2297"/>
      <c r="IN223" s="2297"/>
      <c r="IO223" s="2297"/>
      <c r="IP223" s="2297"/>
      <c r="IQ223" s="2297"/>
      <c r="IR223" s="2297"/>
      <c r="IS223" s="2297"/>
      <c r="IT223" s="2297"/>
      <c r="IU223" s="2297"/>
      <c r="IV223" s="2297"/>
    </row>
    <row r="224" spans="3:256">
      <c r="C224" s="2298"/>
      <c r="D224" s="2298"/>
      <c r="E224" s="2298"/>
      <c r="F224" s="2298"/>
      <c r="G224" s="2298"/>
      <c r="H224" s="2298"/>
      <c r="AC224" s="2297"/>
      <c r="AD224" s="2297"/>
      <c r="AE224" s="2297"/>
      <c r="AF224" s="2297"/>
      <c r="AG224" s="2297"/>
      <c r="AH224" s="2297"/>
      <c r="AI224" s="2297"/>
      <c r="AJ224" s="2297"/>
      <c r="AK224" s="2297"/>
      <c r="AL224" s="2297"/>
      <c r="AM224" s="2297"/>
      <c r="AN224" s="2297"/>
      <c r="AO224" s="2297"/>
      <c r="AP224" s="2297"/>
      <c r="AQ224" s="2297"/>
      <c r="AR224" s="2297"/>
      <c r="AS224" s="2297"/>
      <c r="AT224" s="2297"/>
      <c r="AU224" s="2297"/>
      <c r="AV224" s="2297"/>
      <c r="AW224" s="2297"/>
      <c r="AX224" s="2297"/>
      <c r="AY224" s="2297"/>
      <c r="AZ224" s="2297"/>
      <c r="BA224" s="2297"/>
      <c r="BB224" s="2297"/>
      <c r="BC224" s="2297"/>
      <c r="BD224" s="2297"/>
      <c r="BE224" s="2297"/>
      <c r="BF224" s="2297"/>
      <c r="BG224" s="2297"/>
      <c r="BH224" s="2297"/>
      <c r="BI224" s="2297"/>
      <c r="BJ224" s="2297"/>
      <c r="BK224" s="2297"/>
      <c r="BL224" s="2297"/>
      <c r="BM224" s="2297"/>
      <c r="BN224" s="2297"/>
      <c r="BO224" s="2297"/>
      <c r="BP224" s="2297"/>
      <c r="BQ224" s="2297"/>
      <c r="BR224" s="2297"/>
      <c r="BS224" s="2297"/>
      <c r="BT224" s="2297"/>
      <c r="BU224" s="2297"/>
      <c r="BV224" s="2297"/>
      <c r="BW224" s="2297"/>
      <c r="BX224" s="2297"/>
      <c r="BY224" s="2297"/>
      <c r="BZ224" s="2297"/>
      <c r="CA224" s="2297"/>
      <c r="CB224" s="2297"/>
      <c r="CC224" s="2297"/>
      <c r="CD224" s="2297"/>
      <c r="CE224" s="2297"/>
      <c r="CF224" s="2297"/>
      <c r="CG224" s="2297"/>
      <c r="CH224" s="2297"/>
      <c r="CI224" s="2297"/>
      <c r="CJ224" s="2297"/>
      <c r="CK224" s="2297"/>
      <c r="CL224" s="2297"/>
      <c r="CM224" s="2297"/>
      <c r="CN224" s="2297"/>
      <c r="CO224" s="2297"/>
      <c r="CP224" s="2297"/>
      <c r="CQ224" s="2297"/>
      <c r="CR224" s="2297"/>
      <c r="CS224" s="2297"/>
      <c r="CT224" s="2297"/>
      <c r="CU224" s="2297"/>
      <c r="CV224" s="2297"/>
      <c r="CW224" s="2297"/>
      <c r="CX224" s="2297"/>
      <c r="CY224" s="2297"/>
      <c r="CZ224" s="2297"/>
      <c r="DA224" s="2297"/>
      <c r="DB224" s="2297"/>
      <c r="DC224" s="2297"/>
      <c r="DD224" s="2297"/>
      <c r="DE224" s="2297"/>
      <c r="DF224" s="2297"/>
      <c r="DG224" s="2297"/>
      <c r="DH224" s="2297"/>
      <c r="DI224" s="2297"/>
      <c r="DJ224" s="2297"/>
      <c r="DK224" s="2297"/>
      <c r="DL224" s="2297"/>
      <c r="DM224" s="2297"/>
      <c r="DN224" s="2297"/>
      <c r="DO224" s="2297"/>
      <c r="DP224" s="2297"/>
      <c r="DQ224" s="2297"/>
      <c r="DR224" s="2297"/>
      <c r="DS224" s="2297"/>
      <c r="DT224" s="2297"/>
      <c r="DU224" s="2297"/>
      <c r="DV224" s="2297"/>
      <c r="DW224" s="2297"/>
      <c r="DX224" s="2297"/>
      <c r="DY224" s="2297"/>
      <c r="DZ224" s="2297"/>
      <c r="EA224" s="2297"/>
      <c r="EB224" s="2297"/>
      <c r="EC224" s="2297"/>
      <c r="ED224" s="2297"/>
      <c r="EE224" s="2297"/>
      <c r="EF224" s="2297"/>
      <c r="EG224" s="2297"/>
      <c r="EH224" s="2297"/>
      <c r="EI224" s="2297"/>
      <c r="EJ224" s="2297"/>
      <c r="EK224" s="2297"/>
      <c r="EL224" s="2297"/>
      <c r="EM224" s="2297"/>
      <c r="EN224" s="2297"/>
      <c r="EO224" s="2297"/>
      <c r="EP224" s="2297"/>
      <c r="EQ224" s="2297"/>
      <c r="ER224" s="2297"/>
      <c r="ES224" s="2297"/>
      <c r="ET224" s="2297"/>
      <c r="EU224" s="2297"/>
      <c r="EV224" s="2297"/>
      <c r="EW224" s="2297"/>
      <c r="EX224" s="2297"/>
      <c r="EY224" s="2297"/>
      <c r="EZ224" s="2297"/>
      <c r="FA224" s="2297"/>
      <c r="FB224" s="2297"/>
      <c r="FC224" s="2297"/>
      <c r="FD224" s="2297"/>
      <c r="FE224" s="2297"/>
      <c r="FF224" s="2297"/>
      <c r="FG224" s="2297"/>
      <c r="FH224" s="2297"/>
      <c r="FI224" s="2297"/>
      <c r="FJ224" s="2297"/>
      <c r="FK224" s="2297"/>
      <c r="FL224" s="2297"/>
      <c r="FM224" s="2297"/>
      <c r="FN224" s="2297"/>
      <c r="FO224" s="2297"/>
      <c r="FP224" s="2297"/>
      <c r="FQ224" s="2297"/>
      <c r="FR224" s="2297"/>
      <c r="FS224" s="2297"/>
      <c r="FT224" s="2297"/>
      <c r="FU224" s="2297"/>
      <c r="FV224" s="2297"/>
      <c r="FW224" s="2297"/>
      <c r="FX224" s="2297"/>
      <c r="FY224" s="2297"/>
      <c r="FZ224" s="2297"/>
      <c r="GA224" s="2297"/>
      <c r="GB224" s="2297"/>
      <c r="GC224" s="2297"/>
      <c r="GD224" s="2297"/>
      <c r="GE224" s="2297"/>
      <c r="GF224" s="2297"/>
      <c r="GG224" s="2297"/>
      <c r="GH224" s="2297"/>
      <c r="GI224" s="2297"/>
      <c r="GJ224" s="2297"/>
      <c r="GK224" s="2297"/>
      <c r="GL224" s="2297"/>
      <c r="GM224" s="2297"/>
      <c r="GN224" s="2297"/>
      <c r="GO224" s="2297"/>
      <c r="GP224" s="2297"/>
      <c r="GQ224" s="2297"/>
      <c r="GR224" s="2297"/>
      <c r="GS224" s="2297"/>
      <c r="GT224" s="2297"/>
      <c r="GU224" s="2297"/>
      <c r="GV224" s="2297"/>
      <c r="GW224" s="2297"/>
      <c r="GX224" s="2297"/>
      <c r="GY224" s="2297"/>
      <c r="GZ224" s="2297"/>
      <c r="HA224" s="2297"/>
      <c r="HB224" s="2297"/>
      <c r="HC224" s="2297"/>
      <c r="HD224" s="2297"/>
      <c r="HE224" s="2297"/>
      <c r="HF224" s="2297"/>
      <c r="HG224" s="2297"/>
      <c r="HH224" s="2297"/>
      <c r="HI224" s="2297"/>
      <c r="HJ224" s="2297"/>
      <c r="HK224" s="2297"/>
      <c r="HL224" s="2297"/>
      <c r="HM224" s="2297"/>
      <c r="HN224" s="2297"/>
      <c r="HO224" s="2297"/>
      <c r="HP224" s="2297"/>
      <c r="HQ224" s="2297"/>
      <c r="HR224" s="2297"/>
      <c r="HS224" s="2297"/>
      <c r="HT224" s="2297"/>
      <c r="HU224" s="2297"/>
      <c r="HV224" s="2297"/>
      <c r="HW224" s="2297"/>
      <c r="HX224" s="2297"/>
      <c r="HY224" s="2297"/>
      <c r="HZ224" s="2297"/>
      <c r="IA224" s="2297"/>
      <c r="IB224" s="2297"/>
      <c r="IC224" s="2297"/>
      <c r="ID224" s="2297"/>
      <c r="IE224" s="2297"/>
      <c r="IF224" s="2297"/>
      <c r="IG224" s="2297"/>
      <c r="IH224" s="2297"/>
      <c r="II224" s="2297"/>
      <c r="IJ224" s="2297"/>
      <c r="IK224" s="2297"/>
      <c r="IL224" s="2297"/>
      <c r="IM224" s="2297"/>
      <c r="IN224" s="2297"/>
      <c r="IO224" s="2297"/>
      <c r="IP224" s="2297"/>
      <c r="IQ224" s="2297"/>
      <c r="IR224" s="2297"/>
      <c r="IS224" s="2297"/>
      <c r="IT224" s="2297"/>
      <c r="IU224" s="2297"/>
      <c r="IV224" s="2297"/>
    </row>
    <row r="225" spans="3:256">
      <c r="C225" s="2298"/>
      <c r="D225" s="2298"/>
      <c r="E225" s="2298"/>
      <c r="F225" s="2298"/>
      <c r="G225" s="2298"/>
      <c r="H225" s="2298"/>
      <c r="AC225" s="2297"/>
      <c r="AD225" s="2297"/>
      <c r="AE225" s="2297"/>
      <c r="AF225" s="2297"/>
      <c r="AG225" s="2297"/>
      <c r="AH225" s="2297"/>
      <c r="AI225" s="2297"/>
      <c r="AJ225" s="2297"/>
      <c r="AK225" s="2297"/>
      <c r="AL225" s="2297"/>
      <c r="AM225" s="2297"/>
      <c r="AN225" s="2297"/>
      <c r="AO225" s="2297"/>
      <c r="AP225" s="2297"/>
      <c r="AQ225" s="2297"/>
      <c r="AR225" s="2297"/>
      <c r="AS225" s="2297"/>
      <c r="AT225" s="2297"/>
      <c r="AU225" s="2297"/>
      <c r="AV225" s="2297"/>
      <c r="AW225" s="2297"/>
      <c r="AX225" s="2297"/>
      <c r="AY225" s="2297"/>
      <c r="AZ225" s="2297"/>
      <c r="BA225" s="2297"/>
      <c r="BB225" s="2297"/>
      <c r="BC225" s="2297"/>
      <c r="BD225" s="2297"/>
      <c r="BE225" s="2297"/>
      <c r="BF225" s="2297"/>
      <c r="BG225" s="2297"/>
      <c r="BH225" s="2297"/>
      <c r="BI225" s="2297"/>
      <c r="BJ225" s="2297"/>
      <c r="BK225" s="2297"/>
      <c r="BL225" s="2297"/>
      <c r="BM225" s="2297"/>
      <c r="BN225" s="2297"/>
      <c r="BO225" s="2297"/>
      <c r="BP225" s="2297"/>
      <c r="BQ225" s="2297"/>
      <c r="BR225" s="2297"/>
      <c r="BS225" s="2297"/>
      <c r="BT225" s="2297"/>
      <c r="BU225" s="2297"/>
      <c r="BV225" s="2297"/>
      <c r="BW225" s="2297"/>
      <c r="BX225" s="2297"/>
      <c r="BY225" s="2297"/>
      <c r="BZ225" s="2297"/>
      <c r="CA225" s="2297"/>
      <c r="CB225" s="2297"/>
      <c r="CC225" s="2297"/>
      <c r="CD225" s="2297"/>
      <c r="CE225" s="2297"/>
      <c r="CF225" s="2297"/>
      <c r="CG225" s="2297"/>
      <c r="CH225" s="2297"/>
      <c r="CI225" s="2297"/>
      <c r="CJ225" s="2297"/>
      <c r="CK225" s="2297"/>
      <c r="CL225" s="2297"/>
      <c r="CM225" s="2297"/>
      <c r="CN225" s="2297"/>
      <c r="CO225" s="2297"/>
      <c r="CP225" s="2297"/>
      <c r="CQ225" s="2297"/>
      <c r="CR225" s="2297"/>
      <c r="CS225" s="2297"/>
      <c r="CT225" s="2297"/>
      <c r="CU225" s="2297"/>
      <c r="CV225" s="2297"/>
      <c r="CW225" s="2297"/>
      <c r="CX225" s="2297"/>
      <c r="CY225" s="2297"/>
      <c r="CZ225" s="2297"/>
      <c r="DA225" s="2297"/>
      <c r="DB225" s="2297"/>
      <c r="DC225" s="2297"/>
      <c r="DD225" s="2297"/>
      <c r="DE225" s="2297"/>
      <c r="DF225" s="2297"/>
      <c r="DG225" s="2297"/>
      <c r="DH225" s="2297"/>
      <c r="DI225" s="2297"/>
      <c r="DJ225" s="2297"/>
      <c r="DK225" s="2297"/>
      <c r="DL225" s="2297"/>
      <c r="DM225" s="2297"/>
      <c r="DN225" s="2297"/>
      <c r="DO225" s="2297"/>
      <c r="DP225" s="2297"/>
      <c r="DQ225" s="2297"/>
      <c r="DR225" s="2297"/>
      <c r="DS225" s="2297"/>
      <c r="DT225" s="2297"/>
      <c r="DU225" s="2297"/>
      <c r="DV225" s="2297"/>
      <c r="DW225" s="2297"/>
      <c r="DX225" s="2297"/>
      <c r="DY225" s="2297"/>
      <c r="DZ225" s="2297"/>
      <c r="EA225" s="2297"/>
      <c r="EB225" s="2297"/>
      <c r="EC225" s="2297"/>
      <c r="ED225" s="2297"/>
      <c r="EE225" s="2297"/>
      <c r="EF225" s="2297"/>
      <c r="EG225" s="2297"/>
      <c r="EH225" s="2297"/>
      <c r="EI225" s="2297"/>
      <c r="EJ225" s="2297"/>
      <c r="EK225" s="2297"/>
      <c r="EL225" s="2297"/>
      <c r="EM225" s="2297"/>
      <c r="EN225" s="2297"/>
      <c r="EO225" s="2297"/>
      <c r="EP225" s="2297"/>
      <c r="EQ225" s="2297"/>
      <c r="ER225" s="2297"/>
      <c r="ES225" s="2297"/>
      <c r="ET225" s="2297"/>
      <c r="EU225" s="2297"/>
      <c r="EV225" s="2297"/>
      <c r="EW225" s="2297"/>
      <c r="EX225" s="2297"/>
      <c r="EY225" s="2297"/>
      <c r="EZ225" s="2297"/>
      <c r="FA225" s="2297"/>
      <c r="FB225" s="2297"/>
      <c r="FC225" s="2297"/>
      <c r="FD225" s="2297"/>
      <c r="FE225" s="2297"/>
      <c r="FF225" s="2297"/>
      <c r="FG225" s="2297"/>
      <c r="FH225" s="2297"/>
      <c r="FI225" s="2297"/>
      <c r="FJ225" s="2297"/>
      <c r="FK225" s="2297"/>
      <c r="FL225" s="2297"/>
      <c r="FM225" s="2297"/>
      <c r="FN225" s="2297"/>
      <c r="FO225" s="2297"/>
      <c r="FP225" s="2297"/>
      <c r="FQ225" s="2297"/>
      <c r="FR225" s="2297"/>
      <c r="FS225" s="2297"/>
      <c r="FT225" s="2297"/>
      <c r="FU225" s="2297"/>
      <c r="FV225" s="2297"/>
      <c r="FW225" s="2297"/>
      <c r="FX225" s="2297"/>
      <c r="FY225" s="2297"/>
      <c r="FZ225" s="2297"/>
      <c r="GA225" s="2297"/>
      <c r="GB225" s="2297"/>
      <c r="GC225" s="2297"/>
      <c r="GD225" s="2297"/>
      <c r="GE225" s="2297"/>
      <c r="GF225" s="2297"/>
      <c r="GG225" s="2297"/>
      <c r="GH225" s="2297"/>
      <c r="GI225" s="2297"/>
      <c r="GJ225" s="2297"/>
      <c r="GK225" s="2297"/>
      <c r="GL225" s="2297"/>
      <c r="GM225" s="2297"/>
      <c r="GN225" s="2297"/>
      <c r="GO225" s="2297"/>
      <c r="GP225" s="2297"/>
      <c r="GQ225" s="2297"/>
      <c r="GR225" s="2297"/>
      <c r="GS225" s="2297"/>
      <c r="GT225" s="2297"/>
      <c r="GU225" s="2297"/>
      <c r="GV225" s="2297"/>
      <c r="GW225" s="2297"/>
      <c r="GX225" s="2297"/>
      <c r="GY225" s="2297"/>
      <c r="GZ225" s="2297"/>
      <c r="HA225" s="2297"/>
      <c r="HB225" s="2297"/>
      <c r="HC225" s="2297"/>
      <c r="HD225" s="2297"/>
      <c r="HE225" s="2297"/>
      <c r="HF225" s="2297"/>
      <c r="HG225" s="2297"/>
      <c r="HH225" s="2297"/>
      <c r="HI225" s="2297"/>
      <c r="HJ225" s="2297"/>
      <c r="HK225" s="2297"/>
      <c r="HL225" s="2297"/>
      <c r="HM225" s="2297"/>
      <c r="HN225" s="2297"/>
      <c r="HO225" s="2297"/>
      <c r="HP225" s="2297"/>
      <c r="HQ225" s="2297"/>
      <c r="HR225" s="2297"/>
      <c r="HS225" s="2297"/>
      <c r="HT225" s="2297"/>
      <c r="HU225" s="2297"/>
      <c r="HV225" s="2297"/>
      <c r="HW225" s="2297"/>
      <c r="HX225" s="2297"/>
      <c r="HY225" s="2297"/>
      <c r="HZ225" s="2297"/>
      <c r="IA225" s="2297"/>
      <c r="IB225" s="2297"/>
      <c r="IC225" s="2297"/>
      <c r="ID225" s="2297"/>
      <c r="IE225" s="2297"/>
      <c r="IF225" s="2297"/>
      <c r="IG225" s="2297"/>
      <c r="IH225" s="2297"/>
      <c r="II225" s="2297"/>
      <c r="IJ225" s="2297"/>
      <c r="IK225" s="2297"/>
      <c r="IL225" s="2297"/>
      <c r="IM225" s="2297"/>
      <c r="IN225" s="2297"/>
      <c r="IO225" s="2297"/>
      <c r="IP225" s="2297"/>
      <c r="IQ225" s="2297"/>
      <c r="IR225" s="2297"/>
      <c r="IS225" s="2297"/>
      <c r="IT225" s="2297"/>
      <c r="IU225" s="2297"/>
      <c r="IV225" s="2297"/>
    </row>
    <row r="226" spans="3:256">
      <c r="C226" s="2298"/>
      <c r="D226" s="2298"/>
      <c r="E226" s="2298"/>
      <c r="F226" s="2298"/>
      <c r="G226" s="2298"/>
      <c r="H226" s="2298"/>
      <c r="AC226" s="2297"/>
      <c r="AD226" s="2297"/>
      <c r="AE226" s="2297"/>
      <c r="AF226" s="2297"/>
      <c r="AG226" s="2297"/>
      <c r="AH226" s="2297"/>
      <c r="AI226" s="2297"/>
      <c r="AJ226" s="2297"/>
      <c r="AK226" s="2297"/>
      <c r="AL226" s="2297"/>
      <c r="AM226" s="2297"/>
      <c r="AN226" s="2297"/>
      <c r="AO226" s="2297"/>
      <c r="AP226" s="2297"/>
      <c r="AQ226" s="2297"/>
      <c r="AR226" s="2297"/>
      <c r="AS226" s="2297"/>
      <c r="AT226" s="2297"/>
      <c r="AU226" s="2297"/>
      <c r="AV226" s="2297"/>
      <c r="AW226" s="2297"/>
      <c r="AX226" s="2297"/>
      <c r="AY226" s="2297"/>
      <c r="AZ226" s="2297"/>
      <c r="BA226" s="2297"/>
      <c r="BB226" s="2297"/>
      <c r="BC226" s="2297"/>
      <c r="BD226" s="2297"/>
      <c r="BE226" s="2297"/>
      <c r="BF226" s="2297"/>
      <c r="BG226" s="2297"/>
      <c r="BH226" s="2297"/>
      <c r="BI226" s="2297"/>
      <c r="BJ226" s="2297"/>
      <c r="BK226" s="2297"/>
      <c r="BL226" s="2297"/>
      <c r="BM226" s="2297"/>
      <c r="BN226" s="2297"/>
      <c r="BO226" s="2297"/>
      <c r="BP226" s="2297"/>
      <c r="BQ226" s="2297"/>
      <c r="BR226" s="2297"/>
      <c r="BS226" s="2297"/>
      <c r="BT226" s="2297"/>
      <c r="BU226" s="2297"/>
      <c r="BV226" s="2297"/>
      <c r="BW226" s="2297"/>
      <c r="BX226" s="2297"/>
      <c r="BY226" s="2297"/>
      <c r="BZ226" s="2297"/>
      <c r="CA226" s="2297"/>
      <c r="CB226" s="2297"/>
      <c r="CC226" s="2297"/>
      <c r="CD226" s="2297"/>
      <c r="CE226" s="2297"/>
      <c r="CF226" s="2297"/>
      <c r="CG226" s="2297"/>
      <c r="CH226" s="2297"/>
      <c r="CI226" s="2297"/>
      <c r="CJ226" s="2297"/>
      <c r="CK226" s="2297"/>
      <c r="CL226" s="2297"/>
      <c r="CM226" s="2297"/>
      <c r="CN226" s="2297"/>
      <c r="CO226" s="2297"/>
      <c r="CP226" s="2297"/>
      <c r="CQ226" s="2297"/>
      <c r="CR226" s="2297"/>
      <c r="CS226" s="2297"/>
      <c r="CT226" s="2297"/>
      <c r="CU226" s="2297"/>
      <c r="CV226" s="2297"/>
      <c r="CW226" s="2297"/>
      <c r="CX226" s="2297"/>
      <c r="CY226" s="2297"/>
      <c r="CZ226" s="2297"/>
      <c r="DA226" s="2297"/>
      <c r="DB226" s="2297"/>
      <c r="DC226" s="2297"/>
      <c r="DD226" s="2297"/>
      <c r="DE226" s="2297"/>
      <c r="DF226" s="2297"/>
      <c r="DG226" s="2297"/>
      <c r="DH226" s="2297"/>
      <c r="DI226" s="2297"/>
      <c r="DJ226" s="2297"/>
      <c r="DK226" s="2297"/>
      <c r="DL226" s="2297"/>
      <c r="DM226" s="2297"/>
      <c r="DN226" s="2297"/>
      <c r="DO226" s="2297"/>
      <c r="DP226" s="2297"/>
      <c r="DQ226" s="2297"/>
      <c r="DR226" s="2297"/>
      <c r="DS226" s="2297"/>
      <c r="DT226" s="2297"/>
      <c r="DU226" s="2297"/>
      <c r="DV226" s="2297"/>
      <c r="DW226" s="2297"/>
      <c r="DX226" s="2297"/>
      <c r="DY226" s="2297"/>
      <c r="DZ226" s="2297"/>
      <c r="EA226" s="2297"/>
      <c r="EB226" s="2297"/>
      <c r="EC226" s="2297"/>
      <c r="ED226" s="2297"/>
      <c r="EE226" s="2297"/>
      <c r="EF226" s="2297"/>
      <c r="EG226" s="2297"/>
      <c r="EH226" s="2297"/>
      <c r="EI226" s="2297"/>
      <c r="EJ226" s="2297"/>
      <c r="EK226" s="2297"/>
      <c r="EL226" s="2297"/>
      <c r="EM226" s="2297"/>
      <c r="EN226" s="2297"/>
      <c r="EO226" s="2297"/>
      <c r="EP226" s="2297"/>
      <c r="EQ226" s="2297"/>
      <c r="ER226" s="2297"/>
      <c r="ES226" s="2297"/>
      <c r="ET226" s="2297"/>
      <c r="EU226" s="2297"/>
      <c r="EV226" s="2297"/>
      <c r="EW226" s="2297"/>
      <c r="EX226" s="2297"/>
      <c r="EY226" s="2297"/>
      <c r="EZ226" s="2297"/>
      <c r="FA226" s="2297"/>
      <c r="FB226" s="2297"/>
      <c r="FC226" s="2297"/>
      <c r="FD226" s="2297"/>
      <c r="FE226" s="2297"/>
      <c r="FF226" s="2297"/>
      <c r="FG226" s="2297"/>
      <c r="FH226" s="2297"/>
      <c r="FI226" s="2297"/>
      <c r="FJ226" s="2297"/>
      <c r="FK226" s="2297"/>
      <c r="FL226" s="2297"/>
      <c r="FM226" s="2297"/>
      <c r="FN226" s="2297"/>
      <c r="FO226" s="2297"/>
      <c r="FP226" s="2297"/>
      <c r="FQ226" s="2297"/>
      <c r="FR226" s="2297"/>
      <c r="FS226" s="2297"/>
      <c r="FT226" s="2297"/>
      <c r="FU226" s="2297"/>
      <c r="FV226" s="2297"/>
      <c r="FW226" s="2297"/>
      <c r="FX226" s="2297"/>
      <c r="FY226" s="2297"/>
      <c r="FZ226" s="2297"/>
      <c r="GA226" s="2297"/>
      <c r="GB226" s="2297"/>
      <c r="GC226" s="2297"/>
      <c r="GD226" s="2297"/>
      <c r="GE226" s="2297"/>
      <c r="GF226" s="2297"/>
      <c r="GG226" s="2297"/>
      <c r="GH226" s="2297"/>
      <c r="GI226" s="2297"/>
      <c r="GJ226" s="2297"/>
      <c r="GK226" s="2297"/>
      <c r="GL226" s="2297"/>
      <c r="GM226" s="2297"/>
      <c r="GN226" s="2297"/>
      <c r="GO226" s="2297"/>
      <c r="GP226" s="2297"/>
      <c r="GQ226" s="2297"/>
      <c r="GR226" s="2297"/>
      <c r="GS226" s="2297"/>
      <c r="GT226" s="2297"/>
      <c r="GU226" s="2297"/>
      <c r="GV226" s="2297"/>
      <c r="GW226" s="2297"/>
      <c r="GX226" s="2297"/>
      <c r="GY226" s="2297"/>
      <c r="GZ226" s="2297"/>
      <c r="HA226" s="2297"/>
      <c r="HB226" s="2297"/>
      <c r="HC226" s="2297"/>
      <c r="HD226" s="2297"/>
      <c r="HE226" s="2297"/>
      <c r="HF226" s="2297"/>
      <c r="HG226" s="2297"/>
      <c r="HH226" s="2297"/>
      <c r="HI226" s="2297"/>
      <c r="HJ226" s="2297"/>
      <c r="HK226" s="2297"/>
      <c r="HL226" s="2297"/>
      <c r="HM226" s="2297"/>
      <c r="HN226" s="2297"/>
      <c r="HO226" s="2297"/>
      <c r="HP226" s="2297"/>
      <c r="HQ226" s="2297"/>
      <c r="HR226" s="2297"/>
      <c r="HS226" s="2297"/>
      <c r="HT226" s="2297"/>
      <c r="HU226" s="2297"/>
      <c r="HV226" s="2297"/>
      <c r="HW226" s="2297"/>
      <c r="HX226" s="2297"/>
      <c r="HY226" s="2297"/>
      <c r="HZ226" s="2297"/>
      <c r="IA226" s="2297"/>
      <c r="IB226" s="2297"/>
      <c r="IC226" s="2297"/>
      <c r="ID226" s="2297"/>
      <c r="IE226" s="2297"/>
      <c r="IF226" s="2297"/>
      <c r="IG226" s="2297"/>
      <c r="IH226" s="2297"/>
      <c r="II226" s="2297"/>
      <c r="IJ226" s="2297"/>
      <c r="IK226" s="2297"/>
      <c r="IL226" s="2297"/>
      <c r="IM226" s="2297"/>
      <c r="IN226" s="2297"/>
      <c r="IO226" s="2297"/>
      <c r="IP226" s="2297"/>
      <c r="IQ226" s="2297"/>
      <c r="IR226" s="2297"/>
      <c r="IS226" s="2297"/>
      <c r="IT226" s="2297"/>
      <c r="IU226" s="2297"/>
      <c r="IV226" s="2297"/>
    </row>
    <row r="227" spans="3:256">
      <c r="C227" s="2298"/>
      <c r="D227" s="2298"/>
      <c r="E227" s="2298"/>
      <c r="F227" s="2298"/>
      <c r="G227" s="2298"/>
      <c r="H227" s="2298"/>
      <c r="AC227" s="2297"/>
      <c r="AD227" s="2297"/>
      <c r="AE227" s="2297"/>
      <c r="AF227" s="2297"/>
      <c r="AG227" s="2297"/>
      <c r="AH227" s="2297"/>
      <c r="AI227" s="2297"/>
      <c r="AJ227" s="2297"/>
      <c r="AK227" s="2297"/>
      <c r="AL227" s="2297"/>
      <c r="AM227" s="2297"/>
      <c r="AN227" s="2297"/>
      <c r="AO227" s="2297"/>
      <c r="AP227" s="2297"/>
      <c r="AQ227" s="2297"/>
      <c r="AR227" s="2297"/>
      <c r="AS227" s="2297"/>
      <c r="AT227" s="2297"/>
      <c r="AU227" s="2297"/>
      <c r="AV227" s="2297"/>
      <c r="AW227" s="2297"/>
      <c r="AX227" s="2297"/>
      <c r="AY227" s="2297"/>
      <c r="AZ227" s="2297"/>
      <c r="BA227" s="2297"/>
      <c r="BB227" s="2297"/>
      <c r="BC227" s="2297"/>
      <c r="BD227" s="2297"/>
      <c r="BE227" s="2297"/>
      <c r="BF227" s="2297"/>
      <c r="BG227" s="2297"/>
      <c r="BH227" s="2297"/>
      <c r="BI227" s="2297"/>
      <c r="BJ227" s="2297"/>
      <c r="BK227" s="2297"/>
      <c r="BL227" s="2297"/>
      <c r="BM227" s="2297"/>
      <c r="BN227" s="2297"/>
      <c r="BO227" s="2297"/>
      <c r="BP227" s="2297"/>
      <c r="BQ227" s="2297"/>
      <c r="BR227" s="2297"/>
      <c r="BS227" s="2297"/>
      <c r="BT227" s="2297"/>
      <c r="BU227" s="2297"/>
      <c r="BV227" s="2297"/>
      <c r="BW227" s="2297"/>
      <c r="BX227" s="2297"/>
      <c r="BY227" s="2297"/>
      <c r="BZ227" s="2297"/>
      <c r="CA227" s="2297"/>
      <c r="CB227" s="2297"/>
      <c r="CC227" s="2297"/>
      <c r="CD227" s="2297"/>
      <c r="CE227" s="2297"/>
      <c r="CF227" s="2297"/>
      <c r="CG227" s="2297"/>
      <c r="CH227" s="2297"/>
      <c r="CI227" s="2297"/>
      <c r="CJ227" s="2297"/>
      <c r="CK227" s="2297"/>
      <c r="CL227" s="2297"/>
      <c r="CM227" s="2297"/>
      <c r="CN227" s="2297"/>
      <c r="CO227" s="2297"/>
      <c r="CP227" s="2297"/>
      <c r="CQ227" s="2297"/>
      <c r="CR227" s="2297"/>
      <c r="CS227" s="2297"/>
      <c r="CT227" s="2297"/>
      <c r="CU227" s="2297"/>
      <c r="CV227" s="2297"/>
      <c r="CW227" s="2297"/>
      <c r="CX227" s="2297"/>
      <c r="CY227" s="2297"/>
      <c r="CZ227" s="2297"/>
      <c r="DA227" s="2297"/>
      <c r="DB227" s="2297"/>
      <c r="DC227" s="2297"/>
      <c r="DD227" s="2297"/>
      <c r="DE227" s="2297"/>
      <c r="DF227" s="2297"/>
      <c r="DG227" s="2297"/>
      <c r="DH227" s="2297"/>
      <c r="DI227" s="2297"/>
      <c r="DJ227" s="2297"/>
      <c r="DK227" s="2297"/>
      <c r="DL227" s="2297"/>
      <c r="DM227" s="2297"/>
      <c r="DN227" s="2297"/>
      <c r="DO227" s="2297"/>
      <c r="DP227" s="2297"/>
      <c r="DQ227" s="2297"/>
      <c r="DR227" s="2297"/>
      <c r="DS227" s="2297"/>
      <c r="DT227" s="2297"/>
      <c r="DU227" s="2297"/>
      <c r="DV227" s="2297"/>
      <c r="DW227" s="2297"/>
      <c r="DX227" s="2297"/>
      <c r="DY227" s="2297"/>
      <c r="DZ227" s="2297"/>
      <c r="EA227" s="2297"/>
      <c r="EB227" s="2297"/>
      <c r="EC227" s="2297"/>
      <c r="ED227" s="2297"/>
      <c r="EE227" s="2297"/>
      <c r="EF227" s="2297"/>
      <c r="EG227" s="2297"/>
      <c r="EH227" s="2297"/>
      <c r="EI227" s="2297"/>
      <c r="EJ227" s="2297"/>
      <c r="EK227" s="2297"/>
      <c r="EL227" s="2297"/>
      <c r="EM227" s="2297"/>
      <c r="EN227" s="2297"/>
      <c r="EO227" s="2297"/>
      <c r="EP227" s="2297"/>
      <c r="EQ227" s="2297"/>
      <c r="ER227" s="2297"/>
      <c r="ES227" s="2297"/>
      <c r="ET227" s="2297"/>
      <c r="EU227" s="2297"/>
      <c r="EV227" s="2297"/>
      <c r="EW227" s="2297"/>
      <c r="EX227" s="2297"/>
      <c r="EY227" s="2297"/>
      <c r="EZ227" s="2297"/>
      <c r="FA227" s="2297"/>
      <c r="FB227" s="2297"/>
      <c r="FC227" s="2297"/>
      <c r="FD227" s="2297"/>
      <c r="FE227" s="2297"/>
      <c r="FF227" s="2297"/>
      <c r="FG227" s="2297"/>
      <c r="FH227" s="2297"/>
      <c r="FI227" s="2297"/>
      <c r="FJ227" s="2297"/>
      <c r="FK227" s="2297"/>
      <c r="FL227" s="2297"/>
      <c r="FM227" s="2297"/>
      <c r="FN227" s="2297"/>
      <c r="FO227" s="2297"/>
      <c r="FP227" s="2297"/>
      <c r="FQ227" s="2297"/>
      <c r="FR227" s="2297"/>
      <c r="FS227" s="2297"/>
      <c r="FT227" s="2297"/>
      <c r="FU227" s="2297"/>
      <c r="FV227" s="2297"/>
      <c r="FW227" s="2297"/>
      <c r="FX227" s="2297"/>
      <c r="FY227" s="2297"/>
      <c r="FZ227" s="2297"/>
      <c r="GA227" s="2297"/>
      <c r="GB227" s="2297"/>
      <c r="GC227" s="2297"/>
      <c r="GD227" s="2297"/>
      <c r="GE227" s="2297"/>
      <c r="GF227" s="2297"/>
      <c r="GG227" s="2297"/>
      <c r="GH227" s="2297"/>
      <c r="GI227" s="2297"/>
      <c r="GJ227" s="2297"/>
      <c r="GK227" s="2297"/>
      <c r="GL227" s="2297"/>
      <c r="GM227" s="2297"/>
      <c r="GN227" s="2297"/>
      <c r="GO227" s="2297"/>
      <c r="GP227" s="2297"/>
      <c r="GQ227" s="2297"/>
      <c r="GR227" s="2297"/>
      <c r="GS227" s="2297"/>
      <c r="GT227" s="2297"/>
      <c r="GU227" s="2297"/>
      <c r="GV227" s="2297"/>
      <c r="GW227" s="2297"/>
      <c r="GX227" s="2297"/>
      <c r="GY227" s="2297"/>
      <c r="GZ227" s="2297"/>
      <c r="HA227" s="2297"/>
      <c r="HB227" s="2297"/>
      <c r="HC227" s="2297"/>
      <c r="HD227" s="2297"/>
      <c r="HE227" s="2297"/>
      <c r="HF227" s="2297"/>
      <c r="HG227" s="2297"/>
      <c r="HH227" s="2297"/>
      <c r="HI227" s="2297"/>
      <c r="HJ227" s="2297"/>
      <c r="HK227" s="2297"/>
      <c r="HL227" s="2297"/>
      <c r="HM227" s="2297"/>
      <c r="HN227" s="2297"/>
      <c r="HO227" s="2297"/>
      <c r="HP227" s="2297"/>
      <c r="HQ227" s="2297"/>
      <c r="HR227" s="2297"/>
      <c r="HS227" s="2297"/>
      <c r="HT227" s="2297"/>
      <c r="HU227" s="2297"/>
      <c r="HV227" s="2297"/>
      <c r="HW227" s="2297"/>
      <c r="HX227" s="2297"/>
      <c r="HY227" s="2297"/>
      <c r="HZ227" s="2297"/>
      <c r="IA227" s="2297"/>
      <c r="IB227" s="2297"/>
      <c r="IC227" s="2297"/>
      <c r="ID227" s="2297"/>
      <c r="IE227" s="2297"/>
      <c r="IF227" s="2297"/>
      <c r="IG227" s="2297"/>
      <c r="IH227" s="2297"/>
      <c r="II227" s="2297"/>
      <c r="IJ227" s="2297"/>
      <c r="IK227" s="2297"/>
      <c r="IL227" s="2297"/>
      <c r="IM227" s="2297"/>
      <c r="IN227" s="2297"/>
      <c r="IO227" s="2297"/>
      <c r="IP227" s="2297"/>
      <c r="IQ227" s="2297"/>
      <c r="IR227" s="2297"/>
      <c r="IS227" s="2297"/>
      <c r="IT227" s="2297"/>
      <c r="IU227" s="2297"/>
      <c r="IV227" s="2297"/>
    </row>
    <row r="228" spans="3:256">
      <c r="C228" s="2298"/>
      <c r="D228" s="2298"/>
      <c r="E228" s="2298"/>
      <c r="F228" s="2298"/>
      <c r="G228" s="2298"/>
      <c r="H228" s="2298"/>
      <c r="AC228" s="2297"/>
      <c r="AD228" s="2297"/>
      <c r="AE228" s="2297"/>
      <c r="AF228" s="2297"/>
      <c r="AG228" s="2297"/>
      <c r="AH228" s="2297"/>
      <c r="AI228" s="2297"/>
      <c r="AJ228" s="2297"/>
      <c r="AK228" s="2297"/>
      <c r="AL228" s="2297"/>
      <c r="AM228" s="2297"/>
      <c r="AN228" s="2297"/>
      <c r="AO228" s="2297"/>
      <c r="AP228" s="2297"/>
      <c r="AQ228" s="2297"/>
      <c r="AR228" s="2297"/>
      <c r="AS228" s="2297"/>
      <c r="AT228" s="2297"/>
      <c r="AU228" s="2297"/>
      <c r="AV228" s="2297"/>
      <c r="AW228" s="2297"/>
      <c r="AX228" s="2297"/>
      <c r="AY228" s="2297"/>
      <c r="AZ228" s="2297"/>
      <c r="BA228" s="2297"/>
      <c r="BB228" s="2297"/>
      <c r="BC228" s="2297"/>
      <c r="BD228" s="2297"/>
      <c r="BE228" s="2297"/>
      <c r="BF228" s="2297"/>
      <c r="BG228" s="2297"/>
      <c r="BH228" s="2297"/>
      <c r="BI228" s="2297"/>
      <c r="BJ228" s="2297"/>
      <c r="BK228" s="2297"/>
      <c r="BL228" s="2297"/>
      <c r="BM228" s="2297"/>
      <c r="BN228" s="2297"/>
      <c r="BO228" s="2297"/>
      <c r="BP228" s="2297"/>
      <c r="BQ228" s="2297"/>
      <c r="BR228" s="2297"/>
      <c r="BS228" s="2297"/>
      <c r="BT228" s="2297"/>
      <c r="BU228" s="2297"/>
      <c r="BV228" s="2297"/>
      <c r="BW228" s="2297"/>
      <c r="BX228" s="2297"/>
      <c r="BY228" s="2297"/>
      <c r="BZ228" s="2297"/>
      <c r="CA228" s="2297"/>
      <c r="CB228" s="2297"/>
      <c r="CC228" s="2297"/>
      <c r="CD228" s="2297"/>
      <c r="CE228" s="2297"/>
      <c r="CF228" s="2297"/>
      <c r="CG228" s="2297"/>
      <c r="CH228" s="2297"/>
      <c r="CI228" s="2297"/>
      <c r="CJ228" s="2297"/>
      <c r="CK228" s="2297"/>
      <c r="CL228" s="2297"/>
      <c r="CM228" s="2297"/>
      <c r="CN228" s="2297"/>
      <c r="CO228" s="2297"/>
      <c r="CP228" s="2297"/>
      <c r="CQ228" s="2297"/>
      <c r="CR228" s="2297"/>
      <c r="CS228" s="2297"/>
      <c r="CT228" s="2297"/>
      <c r="CU228" s="2297"/>
      <c r="CV228" s="2297"/>
      <c r="CW228" s="2297"/>
      <c r="CX228" s="2297"/>
      <c r="CY228" s="2297"/>
      <c r="CZ228" s="2297"/>
      <c r="DA228" s="2297"/>
      <c r="DB228" s="2297"/>
      <c r="DC228" s="2297"/>
      <c r="DD228" s="2297"/>
      <c r="DE228" s="2297"/>
      <c r="DF228" s="2297"/>
      <c r="DG228" s="2297"/>
      <c r="DH228" s="2297"/>
      <c r="DI228" s="2297"/>
      <c r="DJ228" s="2297"/>
      <c r="DK228" s="2297"/>
      <c r="DL228" s="2297"/>
      <c r="DM228" s="2297"/>
      <c r="DN228" s="2297"/>
      <c r="DO228" s="2297"/>
      <c r="DP228" s="2297"/>
      <c r="DQ228" s="2297"/>
      <c r="DR228" s="2297"/>
      <c r="DS228" s="2297"/>
      <c r="DT228" s="2297"/>
      <c r="DU228" s="2297"/>
      <c r="DV228" s="2297"/>
      <c r="DW228" s="2297"/>
      <c r="DX228" s="2297"/>
      <c r="DY228" s="2297"/>
      <c r="DZ228" s="2297"/>
      <c r="EA228" s="2297"/>
      <c r="EB228" s="2297"/>
      <c r="EC228" s="2297"/>
      <c r="ED228" s="2297"/>
      <c r="EE228" s="2297"/>
      <c r="EF228" s="2297"/>
      <c r="EG228" s="2297"/>
      <c r="EH228" s="2297"/>
      <c r="EI228" s="2297"/>
      <c r="EJ228" s="2297"/>
      <c r="EK228" s="2297"/>
      <c r="EL228" s="2297"/>
      <c r="EM228" s="2297"/>
      <c r="EN228" s="2297"/>
      <c r="EO228" s="2297"/>
      <c r="EP228" s="2297"/>
      <c r="EQ228" s="2297"/>
      <c r="ER228" s="2297"/>
      <c r="ES228" s="2297"/>
      <c r="ET228" s="2297"/>
      <c r="EU228" s="2297"/>
      <c r="EV228" s="2297"/>
      <c r="EW228" s="2297"/>
      <c r="EX228" s="2297"/>
      <c r="EY228" s="2297"/>
      <c r="EZ228" s="2297"/>
      <c r="FA228" s="2297"/>
      <c r="FB228" s="2297"/>
      <c r="FC228" s="2297"/>
      <c r="FD228" s="2297"/>
      <c r="FE228" s="2297"/>
      <c r="FF228" s="2297"/>
      <c r="FG228" s="2297"/>
      <c r="FH228" s="2297"/>
      <c r="FI228" s="2297"/>
      <c r="FJ228" s="2297"/>
      <c r="FK228" s="2297"/>
      <c r="FL228" s="2297"/>
      <c r="FM228" s="2297"/>
      <c r="FN228" s="2297"/>
      <c r="FO228" s="2297"/>
      <c r="FP228" s="2297"/>
      <c r="FQ228" s="2297"/>
      <c r="FR228" s="2297"/>
      <c r="FS228" s="2297"/>
      <c r="FT228" s="2297"/>
      <c r="FU228" s="2297"/>
      <c r="FV228" s="2297"/>
      <c r="FW228" s="2297"/>
      <c r="FX228" s="2297"/>
      <c r="FY228" s="2297"/>
      <c r="FZ228" s="2297"/>
      <c r="GA228" s="2297"/>
      <c r="GB228" s="2297"/>
      <c r="GC228" s="2297"/>
      <c r="GD228" s="2297"/>
      <c r="GE228" s="2297"/>
      <c r="GF228" s="2297"/>
      <c r="GG228" s="2297"/>
      <c r="GH228" s="2297"/>
      <c r="GI228" s="2297"/>
      <c r="GJ228" s="2297"/>
      <c r="GK228" s="2297"/>
      <c r="GL228" s="2297"/>
      <c r="GM228" s="2297"/>
      <c r="GN228" s="2297"/>
      <c r="GO228" s="2297"/>
      <c r="GP228" s="2297"/>
      <c r="GQ228" s="2297"/>
      <c r="GR228" s="2297"/>
      <c r="GS228" s="2297"/>
      <c r="GT228" s="2297"/>
      <c r="GU228" s="2297"/>
      <c r="GV228" s="2297"/>
      <c r="GW228" s="2297"/>
      <c r="GX228" s="2297"/>
      <c r="GY228" s="2297"/>
      <c r="GZ228" s="2297"/>
      <c r="HA228" s="2297"/>
      <c r="HB228" s="2297"/>
      <c r="HC228" s="2297"/>
      <c r="HD228" s="2297"/>
      <c r="HE228" s="2297"/>
      <c r="HF228" s="2297"/>
      <c r="HG228" s="2297"/>
      <c r="HH228" s="2297"/>
      <c r="HI228" s="2297"/>
      <c r="HJ228" s="2297"/>
      <c r="HK228" s="2297"/>
      <c r="HL228" s="2297"/>
      <c r="HM228" s="2297"/>
      <c r="HN228" s="2297"/>
      <c r="HO228" s="2297"/>
      <c r="HP228" s="2297"/>
      <c r="HQ228" s="2297"/>
      <c r="HR228" s="2297"/>
      <c r="HS228" s="2297"/>
      <c r="HT228" s="2297"/>
      <c r="HU228" s="2297"/>
      <c r="HV228" s="2297"/>
      <c r="HW228" s="2297"/>
      <c r="HX228" s="2297"/>
      <c r="HY228" s="2297"/>
      <c r="HZ228" s="2297"/>
      <c r="IA228" s="2297"/>
      <c r="IB228" s="2297"/>
      <c r="IC228" s="2297"/>
      <c r="ID228" s="2297"/>
      <c r="IE228" s="2297"/>
      <c r="IF228" s="2297"/>
      <c r="IG228" s="2297"/>
      <c r="IH228" s="2297"/>
      <c r="II228" s="2297"/>
      <c r="IJ228" s="2297"/>
      <c r="IK228" s="2297"/>
      <c r="IL228" s="2297"/>
      <c r="IM228" s="2297"/>
      <c r="IN228" s="2297"/>
      <c r="IO228" s="2297"/>
      <c r="IP228" s="2297"/>
      <c r="IQ228" s="2297"/>
      <c r="IR228" s="2297"/>
      <c r="IS228" s="2297"/>
      <c r="IT228" s="2297"/>
      <c r="IU228" s="2297"/>
      <c r="IV228" s="2297"/>
    </row>
    <row r="229" spans="3:256">
      <c r="C229" s="2298"/>
      <c r="D229" s="2298"/>
      <c r="E229" s="2298"/>
      <c r="F229" s="2298"/>
      <c r="G229" s="2298"/>
      <c r="H229" s="2298"/>
      <c r="AC229" s="2297"/>
      <c r="AD229" s="2297"/>
      <c r="AE229" s="2297"/>
      <c r="AF229" s="2297"/>
      <c r="AG229" s="2297"/>
      <c r="AH229" s="2297"/>
      <c r="AI229" s="2297"/>
      <c r="AJ229" s="2297"/>
      <c r="AK229" s="2297"/>
      <c r="AL229" s="2297"/>
      <c r="AM229" s="2297"/>
      <c r="AN229" s="2297"/>
      <c r="AO229" s="2297"/>
      <c r="AP229" s="2297"/>
      <c r="AQ229" s="2297"/>
      <c r="AR229" s="2297"/>
      <c r="AS229" s="2297"/>
      <c r="AT229" s="2297"/>
      <c r="AU229" s="2297"/>
      <c r="AV229" s="2297"/>
      <c r="AW229" s="2297"/>
      <c r="AX229" s="2297"/>
      <c r="AY229" s="2297"/>
      <c r="AZ229" s="2297"/>
      <c r="BA229" s="2297"/>
      <c r="BB229" s="2297"/>
      <c r="BC229" s="2297"/>
      <c r="BD229" s="2297"/>
      <c r="BE229" s="2297"/>
      <c r="BF229" s="2297"/>
      <c r="BG229" s="2297"/>
      <c r="BH229" s="2297"/>
      <c r="BI229" s="2297"/>
      <c r="BJ229" s="2297"/>
      <c r="BK229" s="2297"/>
      <c r="BL229" s="2297"/>
      <c r="BM229" s="2297"/>
      <c r="BN229" s="2297"/>
      <c r="BO229" s="2297"/>
      <c r="BP229" s="2297"/>
      <c r="BQ229" s="2297"/>
      <c r="BR229" s="2297"/>
      <c r="BS229" s="2297"/>
      <c r="BT229" s="2297"/>
      <c r="BU229" s="2297"/>
      <c r="BV229" s="2297"/>
      <c r="BW229" s="2297"/>
      <c r="BX229" s="2297"/>
      <c r="BY229" s="2297"/>
      <c r="BZ229" s="2297"/>
      <c r="CA229" s="2297"/>
      <c r="CB229" s="2297"/>
      <c r="CC229" s="2297"/>
      <c r="CD229" s="2297"/>
      <c r="CE229" s="2297"/>
      <c r="CF229" s="2297"/>
      <c r="CG229" s="2297"/>
      <c r="CH229" s="2297"/>
      <c r="CI229" s="2297"/>
      <c r="CJ229" s="2297"/>
      <c r="CK229" s="2297"/>
      <c r="CL229" s="2297"/>
      <c r="CM229" s="2297"/>
      <c r="CN229" s="2297"/>
      <c r="CO229" s="2297"/>
      <c r="CP229" s="2297"/>
      <c r="CQ229" s="2297"/>
      <c r="CR229" s="2297"/>
      <c r="CS229" s="2297"/>
      <c r="CT229" s="2297"/>
      <c r="CU229" s="2297"/>
      <c r="CV229" s="2297"/>
      <c r="CW229" s="2297"/>
      <c r="CX229" s="2297"/>
      <c r="CY229" s="2297"/>
      <c r="CZ229" s="2297"/>
      <c r="DA229" s="2297"/>
      <c r="DB229" s="2297"/>
      <c r="DC229" s="2297"/>
      <c r="DD229" s="2297"/>
      <c r="DE229" s="2297"/>
      <c r="DF229" s="2297"/>
      <c r="DG229" s="2297"/>
      <c r="DH229" s="2297"/>
      <c r="DI229" s="2297"/>
      <c r="DJ229" s="2297"/>
      <c r="DK229" s="2297"/>
      <c r="DL229" s="2297"/>
      <c r="DM229" s="2297"/>
      <c r="DN229" s="2297"/>
      <c r="DO229" s="2297"/>
      <c r="DP229" s="2297"/>
      <c r="DQ229" s="2297"/>
      <c r="DR229" s="2297"/>
      <c r="DS229" s="2297"/>
      <c r="DT229" s="2297"/>
      <c r="DU229" s="2297"/>
      <c r="DV229" s="2297"/>
      <c r="DW229" s="2297"/>
      <c r="DX229" s="2297"/>
      <c r="DY229" s="2297"/>
      <c r="DZ229" s="2297"/>
      <c r="EA229" s="2297"/>
      <c r="EB229" s="2297"/>
      <c r="EC229" s="2297"/>
      <c r="ED229" s="2297"/>
      <c r="EE229" s="2297"/>
      <c r="EF229" s="2297"/>
      <c r="EG229" s="2297"/>
      <c r="EH229" s="2297"/>
      <c r="EI229" s="2297"/>
      <c r="EJ229" s="2297"/>
      <c r="EK229" s="2297"/>
      <c r="EL229" s="2297"/>
      <c r="EM229" s="2297"/>
      <c r="EN229" s="2297"/>
      <c r="EO229" s="2297"/>
      <c r="EP229" s="2297"/>
      <c r="EQ229" s="2297"/>
      <c r="ER229" s="2297"/>
      <c r="ES229" s="2297"/>
      <c r="ET229" s="2297"/>
      <c r="EU229" s="2297"/>
      <c r="EV229" s="2297"/>
      <c r="EW229" s="2297"/>
      <c r="EX229" s="2297"/>
      <c r="EY229" s="2297"/>
      <c r="EZ229" s="2297"/>
      <c r="FA229" s="2297"/>
      <c r="FB229" s="2297"/>
      <c r="FC229" s="2297"/>
      <c r="FD229" s="2297"/>
      <c r="FE229" s="2297"/>
      <c r="FF229" s="2297"/>
      <c r="FG229" s="2297"/>
      <c r="FH229" s="2297"/>
      <c r="FI229" s="2297"/>
      <c r="FJ229" s="2297"/>
      <c r="FK229" s="2297"/>
      <c r="FL229" s="2297"/>
      <c r="FM229" s="2297"/>
      <c r="FN229" s="2297"/>
      <c r="FO229" s="2297"/>
      <c r="FP229" s="2297"/>
      <c r="FQ229" s="2297"/>
      <c r="FR229" s="2297"/>
      <c r="FS229" s="2297"/>
      <c r="FT229" s="2297"/>
      <c r="FU229" s="2297"/>
      <c r="FV229" s="2297"/>
      <c r="FW229" s="2297"/>
      <c r="FX229" s="2297"/>
      <c r="FY229" s="2297"/>
      <c r="FZ229" s="2297"/>
      <c r="GA229" s="2297"/>
      <c r="GB229" s="2297"/>
      <c r="GC229" s="2297"/>
      <c r="GD229" s="2297"/>
      <c r="GE229" s="2297"/>
      <c r="GF229" s="2297"/>
      <c r="GG229" s="2297"/>
      <c r="GH229" s="2297"/>
      <c r="GI229" s="2297"/>
      <c r="GJ229" s="2297"/>
      <c r="GK229" s="2297"/>
      <c r="GL229" s="2297"/>
      <c r="GM229" s="2297"/>
      <c r="GN229" s="2297"/>
      <c r="GO229" s="2297"/>
      <c r="GP229" s="2297"/>
      <c r="GQ229" s="2297"/>
      <c r="GR229" s="2297"/>
      <c r="GS229" s="2297"/>
      <c r="GT229" s="2297"/>
      <c r="GU229" s="2297"/>
      <c r="GV229" s="2297"/>
      <c r="GW229" s="2297"/>
      <c r="GX229" s="2297"/>
      <c r="GY229" s="2297"/>
      <c r="GZ229" s="2297"/>
      <c r="HA229" s="2297"/>
      <c r="HB229" s="2297"/>
      <c r="HC229" s="2297"/>
      <c r="HD229" s="2297"/>
      <c r="HE229" s="2297"/>
      <c r="HF229" s="2297"/>
      <c r="HG229" s="2297"/>
      <c r="HH229" s="2297"/>
      <c r="HI229" s="2297"/>
      <c r="HJ229" s="2297"/>
      <c r="HK229" s="2297"/>
      <c r="HL229" s="2297"/>
      <c r="HM229" s="2297"/>
      <c r="HN229" s="2297"/>
      <c r="HO229" s="2297"/>
      <c r="HP229" s="2297"/>
      <c r="HQ229" s="2297"/>
      <c r="HR229" s="2297"/>
      <c r="HS229" s="2297"/>
      <c r="HT229" s="2297"/>
      <c r="HU229" s="2297"/>
      <c r="HV229" s="2297"/>
      <c r="HW229" s="2297"/>
      <c r="HX229" s="2297"/>
      <c r="HY229" s="2297"/>
      <c r="HZ229" s="2297"/>
      <c r="IA229" s="2297"/>
      <c r="IB229" s="2297"/>
      <c r="IC229" s="2297"/>
      <c r="ID229" s="2297"/>
      <c r="IE229" s="2297"/>
      <c r="IF229" s="2297"/>
      <c r="IG229" s="2297"/>
      <c r="IH229" s="2297"/>
      <c r="II229" s="2297"/>
      <c r="IJ229" s="2297"/>
      <c r="IK229" s="2297"/>
      <c r="IL229" s="2297"/>
      <c r="IM229" s="2297"/>
      <c r="IN229" s="2297"/>
      <c r="IO229" s="2297"/>
      <c r="IP229" s="2297"/>
      <c r="IQ229" s="2297"/>
      <c r="IR229" s="2297"/>
      <c r="IS229" s="2297"/>
      <c r="IT229" s="2297"/>
      <c r="IU229" s="2297"/>
      <c r="IV229" s="2297"/>
    </row>
    <row r="230" spans="3:256">
      <c r="C230" s="2298"/>
      <c r="D230" s="2298"/>
      <c r="E230" s="2298"/>
      <c r="F230" s="2298"/>
      <c r="G230" s="2298"/>
      <c r="H230" s="2298"/>
      <c r="AC230" s="2297"/>
      <c r="AD230" s="2297"/>
      <c r="AE230" s="2297"/>
      <c r="AF230" s="2297"/>
      <c r="AG230" s="2297"/>
      <c r="AH230" s="2297"/>
      <c r="AI230" s="2297"/>
      <c r="AJ230" s="2297"/>
      <c r="AK230" s="2297"/>
      <c r="AL230" s="2297"/>
      <c r="AM230" s="2297"/>
      <c r="AN230" s="2297"/>
      <c r="AO230" s="2297"/>
      <c r="AP230" s="2297"/>
      <c r="AQ230" s="2297"/>
      <c r="AR230" s="2297"/>
      <c r="AS230" s="2297"/>
      <c r="AT230" s="2297"/>
      <c r="AU230" s="2297"/>
      <c r="AV230" s="2297"/>
      <c r="AW230" s="2297"/>
      <c r="AX230" s="2297"/>
      <c r="AY230" s="2297"/>
      <c r="AZ230" s="2297"/>
      <c r="BA230" s="2297"/>
      <c r="BB230" s="2297"/>
      <c r="BC230" s="2297"/>
      <c r="BD230" s="2297"/>
      <c r="BE230" s="2297"/>
      <c r="BF230" s="2297"/>
      <c r="BG230" s="2297"/>
      <c r="BH230" s="2297"/>
      <c r="BI230" s="2297"/>
      <c r="BJ230" s="2297"/>
      <c r="BK230" s="2297"/>
      <c r="BL230" s="2297"/>
      <c r="BM230" s="2297"/>
      <c r="BN230" s="2297"/>
      <c r="BO230" s="2297"/>
      <c r="BP230" s="2297"/>
      <c r="BQ230" s="2297"/>
      <c r="BR230" s="2297"/>
      <c r="BS230" s="2297"/>
      <c r="BT230" s="2297"/>
      <c r="BU230" s="2297"/>
      <c r="BV230" s="2297"/>
      <c r="BW230" s="2297"/>
      <c r="BX230" s="2297"/>
      <c r="BY230" s="2297"/>
      <c r="BZ230" s="2297"/>
      <c r="CA230" s="2297"/>
      <c r="CB230" s="2297"/>
      <c r="CC230" s="2297"/>
      <c r="CD230" s="2297"/>
      <c r="CE230" s="2297"/>
      <c r="CF230" s="2297"/>
      <c r="CG230" s="2297"/>
      <c r="CH230" s="2297"/>
      <c r="CI230" s="2297"/>
      <c r="CJ230" s="2297"/>
      <c r="CK230" s="2297"/>
      <c r="CL230" s="2297"/>
      <c r="CM230" s="2297"/>
      <c r="CN230" s="2297"/>
      <c r="CO230" s="2297"/>
      <c r="CP230" s="2297"/>
      <c r="CQ230" s="2297"/>
      <c r="CR230" s="2297"/>
      <c r="CS230" s="2297"/>
      <c r="CT230" s="2297"/>
      <c r="CU230" s="2297"/>
      <c r="CV230" s="2297"/>
      <c r="CW230" s="2297"/>
      <c r="CX230" s="2297"/>
      <c r="CY230" s="2297"/>
      <c r="CZ230" s="2297"/>
      <c r="DA230" s="2297"/>
      <c r="DB230" s="2297"/>
      <c r="DC230" s="2297"/>
      <c r="DD230" s="2297"/>
      <c r="DE230" s="2297"/>
      <c r="DF230" s="2297"/>
      <c r="DG230" s="2297"/>
      <c r="DH230" s="2297"/>
      <c r="DI230" s="2297"/>
      <c r="DJ230" s="2297"/>
      <c r="DK230" s="2297"/>
      <c r="DL230" s="2297"/>
      <c r="DM230" s="2297"/>
      <c r="DN230" s="2297"/>
      <c r="DO230" s="2297"/>
      <c r="DP230" s="2297"/>
      <c r="DQ230" s="2297"/>
      <c r="DR230" s="2297"/>
      <c r="DS230" s="2297"/>
      <c r="DT230" s="2297"/>
      <c r="DU230" s="2297"/>
      <c r="DV230" s="2297"/>
      <c r="DW230" s="2297"/>
      <c r="DX230" s="2297"/>
      <c r="DY230" s="2297"/>
      <c r="DZ230" s="2297"/>
      <c r="EA230" s="2297"/>
      <c r="EB230" s="2297"/>
      <c r="EC230" s="2297"/>
      <c r="ED230" s="2297"/>
      <c r="EE230" s="2297"/>
      <c r="EF230" s="2297"/>
      <c r="EG230" s="2297"/>
      <c r="EH230" s="2297"/>
      <c r="EI230" s="2297"/>
      <c r="EJ230" s="2297"/>
      <c r="EK230" s="2297"/>
      <c r="EL230" s="2297"/>
      <c r="EM230" s="2297"/>
      <c r="EN230" s="2297"/>
      <c r="EO230" s="2297"/>
      <c r="EP230" s="2297"/>
      <c r="EQ230" s="2297"/>
      <c r="ER230" s="2297"/>
      <c r="ES230" s="2297"/>
      <c r="ET230" s="2297"/>
      <c r="EU230" s="2297"/>
      <c r="EV230" s="2297"/>
      <c r="EW230" s="2297"/>
      <c r="EX230" s="2297"/>
      <c r="EY230" s="2297"/>
      <c r="EZ230" s="2297"/>
      <c r="FA230" s="2297"/>
      <c r="FB230" s="2297"/>
      <c r="FC230" s="2297"/>
      <c r="FD230" s="2297"/>
      <c r="FE230" s="2297"/>
      <c r="FF230" s="2297"/>
      <c r="FG230" s="2297"/>
      <c r="FH230" s="2297"/>
      <c r="FI230" s="2297"/>
      <c r="FJ230" s="2297"/>
      <c r="FK230" s="2297"/>
      <c r="FL230" s="2297"/>
      <c r="FM230" s="2297"/>
      <c r="FN230" s="2297"/>
      <c r="FO230" s="2297"/>
      <c r="FP230" s="2297"/>
      <c r="FQ230" s="2297"/>
      <c r="FR230" s="2297"/>
      <c r="FS230" s="2297"/>
      <c r="FT230" s="2297"/>
      <c r="FU230" s="2297"/>
      <c r="FV230" s="2297"/>
      <c r="FW230" s="2297"/>
      <c r="FX230" s="2297"/>
      <c r="FY230" s="2297"/>
      <c r="FZ230" s="2297"/>
      <c r="GA230" s="2297"/>
      <c r="GB230" s="2297"/>
      <c r="GC230" s="2297"/>
      <c r="GD230" s="2297"/>
      <c r="GE230" s="2297"/>
      <c r="GF230" s="2297"/>
      <c r="GG230" s="2297"/>
      <c r="GH230" s="2297"/>
      <c r="GI230" s="2297"/>
      <c r="GJ230" s="2297"/>
      <c r="GK230" s="2297"/>
      <c r="GL230" s="2297"/>
      <c r="GM230" s="2297"/>
      <c r="GN230" s="2297"/>
      <c r="GO230" s="2297"/>
      <c r="GP230" s="2297"/>
      <c r="GQ230" s="2297"/>
      <c r="GR230" s="2297"/>
      <c r="GS230" s="2297"/>
      <c r="GT230" s="2297"/>
      <c r="GU230" s="2297"/>
      <c r="GV230" s="2297"/>
      <c r="GW230" s="2297"/>
      <c r="GX230" s="2297"/>
      <c r="GY230" s="2297"/>
      <c r="GZ230" s="2297"/>
      <c r="HA230" s="2297"/>
      <c r="HB230" s="2297"/>
      <c r="HC230" s="2297"/>
      <c r="HD230" s="2297"/>
      <c r="HE230" s="2297"/>
      <c r="HF230" s="2297"/>
      <c r="HG230" s="2297"/>
      <c r="HH230" s="2297"/>
      <c r="HI230" s="2297"/>
      <c r="HJ230" s="2297"/>
      <c r="HK230" s="2297"/>
      <c r="HL230" s="2297"/>
      <c r="HM230" s="2297"/>
      <c r="HN230" s="2297"/>
      <c r="HO230" s="2297"/>
      <c r="HP230" s="2297"/>
      <c r="HQ230" s="2297"/>
      <c r="HR230" s="2297"/>
      <c r="HS230" s="2297"/>
      <c r="HT230" s="2297"/>
      <c r="HU230" s="2297"/>
      <c r="HV230" s="2297"/>
      <c r="HW230" s="2297"/>
      <c r="HX230" s="2297"/>
      <c r="HY230" s="2297"/>
      <c r="HZ230" s="2297"/>
      <c r="IA230" s="2297"/>
      <c r="IB230" s="2297"/>
      <c r="IC230" s="2297"/>
      <c r="ID230" s="2297"/>
      <c r="IE230" s="2297"/>
      <c r="IF230" s="2297"/>
      <c r="IG230" s="2297"/>
      <c r="IH230" s="2297"/>
      <c r="II230" s="2297"/>
      <c r="IJ230" s="2297"/>
      <c r="IK230" s="2297"/>
      <c r="IL230" s="2297"/>
      <c r="IM230" s="2297"/>
      <c r="IN230" s="2297"/>
      <c r="IO230" s="2297"/>
      <c r="IP230" s="2297"/>
      <c r="IQ230" s="2297"/>
      <c r="IR230" s="2297"/>
      <c r="IS230" s="2297"/>
      <c r="IT230" s="2297"/>
      <c r="IU230" s="2297"/>
      <c r="IV230" s="2297"/>
    </row>
    <row r="231" spans="3:256">
      <c r="C231" s="2298"/>
      <c r="D231" s="2298"/>
      <c r="E231" s="2298"/>
      <c r="F231" s="2298"/>
      <c r="G231" s="2298"/>
      <c r="H231" s="2298"/>
      <c r="AC231" s="2297"/>
      <c r="AD231" s="2297"/>
      <c r="AE231" s="2297"/>
      <c r="AF231" s="2297"/>
      <c r="AG231" s="2297"/>
      <c r="AH231" s="2297"/>
      <c r="AI231" s="2297"/>
      <c r="AJ231" s="2297"/>
      <c r="AK231" s="2297"/>
      <c r="AL231" s="2297"/>
      <c r="AM231" s="2297"/>
      <c r="AN231" s="2297"/>
      <c r="AO231" s="2297"/>
      <c r="AP231" s="2297"/>
      <c r="AQ231" s="2297"/>
      <c r="AR231" s="2297"/>
      <c r="AS231" s="2297"/>
      <c r="AT231" s="2297"/>
      <c r="AU231" s="2297"/>
      <c r="AV231" s="2297"/>
      <c r="AW231" s="2297"/>
      <c r="AX231" s="2297"/>
      <c r="AY231" s="2297"/>
      <c r="AZ231" s="2297"/>
      <c r="BA231" s="2297"/>
      <c r="BB231" s="2297"/>
      <c r="BC231" s="2297"/>
      <c r="BD231" s="2297"/>
      <c r="BE231" s="2297"/>
      <c r="BF231" s="2297"/>
      <c r="BG231" s="2297"/>
      <c r="BH231" s="2297"/>
      <c r="BI231" s="2297"/>
      <c r="BJ231" s="2297"/>
      <c r="BK231" s="2297"/>
      <c r="BL231" s="2297"/>
      <c r="BM231" s="2297"/>
      <c r="BN231" s="2297"/>
      <c r="BO231" s="2297"/>
      <c r="BP231" s="2297"/>
      <c r="BQ231" s="2297"/>
      <c r="BR231" s="2297"/>
      <c r="BS231" s="2297"/>
      <c r="BT231" s="2297"/>
      <c r="BU231" s="2297"/>
      <c r="BV231" s="2297"/>
      <c r="BW231" s="2297"/>
      <c r="BX231" s="2297"/>
      <c r="BY231" s="2297"/>
      <c r="BZ231" s="2297"/>
      <c r="CA231" s="2297"/>
      <c r="CB231" s="2297"/>
      <c r="CC231" s="2297"/>
      <c r="CD231" s="2297"/>
      <c r="CE231" s="2297"/>
      <c r="CF231" s="2297"/>
      <c r="CG231" s="2297"/>
      <c r="CH231" s="2297"/>
      <c r="CI231" s="2297"/>
      <c r="CJ231" s="2297"/>
      <c r="CK231" s="2297"/>
      <c r="CL231" s="2297"/>
      <c r="CM231" s="2297"/>
      <c r="CN231" s="2297"/>
      <c r="CO231" s="2297"/>
      <c r="CP231" s="2297"/>
      <c r="CQ231" s="2297"/>
      <c r="CR231" s="2297"/>
      <c r="CS231" s="2297"/>
      <c r="CT231" s="2297"/>
      <c r="CU231" s="2297"/>
      <c r="CV231" s="2297"/>
      <c r="CW231" s="2297"/>
      <c r="CX231" s="2297"/>
      <c r="CY231" s="2297"/>
      <c r="CZ231" s="2297"/>
      <c r="DA231" s="2297"/>
      <c r="DB231" s="2297"/>
      <c r="DC231" s="2297"/>
      <c r="DD231" s="2297"/>
      <c r="DE231" s="2297"/>
      <c r="DF231" s="2297"/>
      <c r="DG231" s="2297"/>
      <c r="DH231" s="2297"/>
      <c r="DI231" s="2297"/>
      <c r="DJ231" s="2297"/>
      <c r="DK231" s="2297"/>
      <c r="DL231" s="2297"/>
      <c r="DM231" s="2297"/>
      <c r="DN231" s="2297"/>
      <c r="DO231" s="2297"/>
      <c r="DP231" s="2297"/>
      <c r="DQ231" s="2297"/>
      <c r="DR231" s="2297"/>
      <c r="DS231" s="2297"/>
      <c r="DT231" s="2297"/>
      <c r="DU231" s="2297"/>
      <c r="DV231" s="2297"/>
      <c r="DW231" s="2297"/>
      <c r="DX231" s="2297"/>
      <c r="DY231" s="2297"/>
      <c r="DZ231" s="2297"/>
      <c r="EA231" s="2297"/>
      <c r="EB231" s="2297"/>
      <c r="EC231" s="2297"/>
      <c r="ED231" s="2297"/>
      <c r="EE231" s="2297"/>
      <c r="EF231" s="2297"/>
      <c r="EG231" s="2297"/>
      <c r="EH231" s="2297"/>
      <c r="EI231" s="2297"/>
      <c r="EJ231" s="2297"/>
      <c r="EK231" s="2297"/>
      <c r="EL231" s="2297"/>
      <c r="EM231" s="2297"/>
      <c r="EN231" s="2297"/>
      <c r="EO231" s="2297"/>
      <c r="EP231" s="2297"/>
      <c r="EQ231" s="2297"/>
      <c r="ER231" s="2297"/>
      <c r="ES231" s="2297"/>
      <c r="ET231" s="2297"/>
      <c r="EU231" s="2297"/>
      <c r="EV231" s="2297"/>
      <c r="EW231" s="2297"/>
      <c r="EX231" s="2297"/>
      <c r="EY231" s="2297"/>
      <c r="EZ231" s="2297"/>
      <c r="FA231" s="2297"/>
      <c r="FB231" s="2297"/>
      <c r="FC231" s="2297"/>
      <c r="FD231" s="2297"/>
      <c r="FE231" s="2297"/>
      <c r="FF231" s="2297"/>
      <c r="FG231" s="2297"/>
      <c r="FH231" s="2297"/>
      <c r="FI231" s="2297"/>
      <c r="FJ231" s="2297"/>
      <c r="FK231" s="2297"/>
      <c r="FL231" s="2297"/>
      <c r="FM231" s="2297"/>
      <c r="FN231" s="2297"/>
      <c r="FO231" s="2297"/>
      <c r="FP231" s="2297"/>
      <c r="FQ231" s="2297"/>
      <c r="FR231" s="2297"/>
      <c r="FS231" s="2297"/>
      <c r="FT231" s="2297"/>
      <c r="FU231" s="2297"/>
      <c r="FV231" s="2297"/>
      <c r="FW231" s="2297"/>
      <c r="FX231" s="2297"/>
      <c r="FY231" s="2297"/>
      <c r="FZ231" s="2297"/>
      <c r="GA231" s="2297"/>
      <c r="GB231" s="2297"/>
      <c r="GC231" s="2297"/>
      <c r="GD231" s="2297"/>
      <c r="GE231" s="2297"/>
      <c r="GF231" s="2297"/>
      <c r="GG231" s="2297"/>
      <c r="GH231" s="2297"/>
      <c r="GI231" s="2297"/>
      <c r="GJ231" s="2297"/>
      <c r="GK231" s="2297"/>
      <c r="GL231" s="2297"/>
      <c r="GM231" s="2297"/>
      <c r="GN231" s="2297"/>
      <c r="GO231" s="2297"/>
      <c r="GP231" s="2297"/>
      <c r="GQ231" s="2297"/>
      <c r="GR231" s="2297"/>
      <c r="GS231" s="2297"/>
      <c r="GT231" s="2297"/>
      <c r="GU231" s="2297"/>
      <c r="GV231" s="2297"/>
      <c r="GW231" s="2297"/>
      <c r="GX231" s="2297"/>
      <c r="GY231" s="2297"/>
      <c r="GZ231" s="2297"/>
      <c r="HA231" s="2297"/>
      <c r="HB231" s="2297"/>
      <c r="HC231" s="2297"/>
      <c r="HD231" s="2297"/>
      <c r="HE231" s="2297"/>
      <c r="HF231" s="2297"/>
      <c r="HG231" s="2297"/>
      <c r="HH231" s="2297"/>
      <c r="HI231" s="2297"/>
      <c r="HJ231" s="2297"/>
      <c r="HK231" s="2297"/>
      <c r="HL231" s="2297"/>
      <c r="HM231" s="2297"/>
      <c r="HN231" s="2297"/>
      <c r="HO231" s="2297"/>
      <c r="HP231" s="2297"/>
      <c r="HQ231" s="2297"/>
      <c r="HR231" s="2297"/>
      <c r="HS231" s="2297"/>
      <c r="HT231" s="2297"/>
      <c r="HU231" s="2297"/>
      <c r="HV231" s="2297"/>
      <c r="HW231" s="2297"/>
      <c r="HX231" s="2297"/>
      <c r="HY231" s="2297"/>
      <c r="HZ231" s="2297"/>
      <c r="IA231" s="2297"/>
      <c r="IB231" s="2297"/>
      <c r="IC231" s="2297"/>
      <c r="ID231" s="2297"/>
      <c r="IE231" s="2297"/>
      <c r="IF231" s="2297"/>
      <c r="IG231" s="2297"/>
      <c r="IH231" s="2297"/>
      <c r="II231" s="2297"/>
      <c r="IJ231" s="2297"/>
      <c r="IK231" s="2297"/>
      <c r="IL231" s="2297"/>
      <c r="IM231" s="2297"/>
      <c r="IN231" s="2297"/>
      <c r="IO231" s="2297"/>
      <c r="IP231" s="2297"/>
      <c r="IQ231" s="2297"/>
      <c r="IR231" s="2297"/>
      <c r="IS231" s="2297"/>
      <c r="IT231" s="2297"/>
      <c r="IU231" s="2297"/>
      <c r="IV231" s="2297"/>
    </row>
    <row r="232" spans="3:256">
      <c r="C232" s="2298"/>
      <c r="D232" s="2298"/>
      <c r="E232" s="2298"/>
      <c r="F232" s="2298"/>
      <c r="G232" s="2298"/>
      <c r="H232" s="2298"/>
      <c r="AC232" s="2297"/>
      <c r="AD232" s="2297"/>
      <c r="AE232" s="2297"/>
      <c r="AF232" s="2297"/>
      <c r="AG232" s="2297"/>
      <c r="AH232" s="2297"/>
      <c r="AI232" s="2297"/>
      <c r="AJ232" s="2297"/>
      <c r="AK232" s="2297"/>
      <c r="AL232" s="2297"/>
      <c r="AM232" s="2297"/>
      <c r="AN232" s="2297"/>
      <c r="AO232" s="2297"/>
      <c r="AP232" s="2297"/>
      <c r="AQ232" s="2297"/>
      <c r="AR232" s="2297"/>
      <c r="AS232" s="2297"/>
      <c r="AT232" s="2297"/>
      <c r="AU232" s="2297"/>
      <c r="AV232" s="2297"/>
      <c r="AW232" s="2297"/>
      <c r="AX232" s="2297"/>
      <c r="AY232" s="2297"/>
      <c r="AZ232" s="2297"/>
      <c r="BA232" s="2297"/>
      <c r="BB232" s="2297"/>
      <c r="BC232" s="2297"/>
      <c r="BD232" s="2297"/>
      <c r="BE232" s="2297"/>
      <c r="BF232" s="2297"/>
      <c r="BG232" s="2297"/>
      <c r="BH232" s="2297"/>
      <c r="BI232" s="2297"/>
      <c r="BJ232" s="2297"/>
      <c r="BK232" s="2297"/>
      <c r="BL232" s="2297"/>
      <c r="BM232" s="2297"/>
      <c r="BN232" s="2297"/>
      <c r="BO232" s="2297"/>
      <c r="BP232" s="2297"/>
      <c r="BQ232" s="2297"/>
      <c r="BR232" s="2297"/>
      <c r="BS232" s="2297"/>
      <c r="BT232" s="2297"/>
      <c r="BU232" s="2297"/>
      <c r="BV232" s="2297"/>
      <c r="BW232" s="2297"/>
      <c r="BX232" s="2297"/>
      <c r="BY232" s="2297"/>
      <c r="BZ232" s="2297"/>
      <c r="CA232" s="2297"/>
      <c r="CB232" s="2297"/>
      <c r="CC232" s="2297"/>
      <c r="CD232" s="2297"/>
      <c r="CE232" s="2297"/>
      <c r="CF232" s="2297"/>
      <c r="CG232" s="2297"/>
      <c r="CH232" s="2297"/>
      <c r="CI232" s="2297"/>
      <c r="CJ232" s="2297"/>
      <c r="CK232" s="2297"/>
      <c r="CL232" s="2297"/>
      <c r="CM232" s="2297"/>
      <c r="CN232" s="2297"/>
      <c r="CO232" s="2297"/>
      <c r="CP232" s="2297"/>
      <c r="CQ232" s="2297"/>
      <c r="CR232" s="2297"/>
      <c r="CS232" s="2297"/>
      <c r="CT232" s="2297"/>
      <c r="CU232" s="2297"/>
      <c r="CV232" s="2297"/>
      <c r="CW232" s="2297"/>
      <c r="CX232" s="2297"/>
      <c r="CY232" s="2297"/>
      <c r="CZ232" s="2297"/>
      <c r="DA232" s="2297"/>
      <c r="DB232" s="2297"/>
      <c r="DC232" s="2297"/>
      <c r="DD232" s="2297"/>
      <c r="DE232" s="2297"/>
      <c r="DF232" s="2297"/>
      <c r="DG232" s="2297"/>
      <c r="DH232" s="2297"/>
      <c r="DI232" s="2297"/>
      <c r="DJ232" s="2297"/>
      <c r="DK232" s="2297"/>
      <c r="DL232" s="2297"/>
      <c r="DM232" s="2297"/>
      <c r="DN232" s="2297"/>
      <c r="DO232" s="2297"/>
      <c r="DP232" s="2297"/>
      <c r="DQ232" s="2297"/>
      <c r="DR232" s="2297"/>
      <c r="DS232" s="2297"/>
      <c r="DT232" s="2297"/>
      <c r="DU232" s="2297"/>
      <c r="DV232" s="2297"/>
      <c r="DW232" s="2297"/>
      <c r="DX232" s="2297"/>
      <c r="DY232" s="2297"/>
      <c r="DZ232" s="2297"/>
      <c r="EA232" s="2297"/>
      <c r="EB232" s="2297"/>
      <c r="EC232" s="2297"/>
      <c r="ED232" s="2297"/>
      <c r="EE232" s="2297"/>
      <c r="EF232" s="2297"/>
      <c r="EG232" s="2297"/>
      <c r="EH232" s="2297"/>
      <c r="EI232" s="2297"/>
      <c r="EJ232" s="2297"/>
      <c r="EK232" s="2297"/>
      <c r="EL232" s="2297"/>
      <c r="EM232" s="2297"/>
      <c r="EN232" s="2297"/>
      <c r="EO232" s="2297"/>
      <c r="EP232" s="2297"/>
      <c r="EQ232" s="2297"/>
      <c r="ER232" s="2297"/>
      <c r="ES232" s="2297"/>
      <c r="ET232" s="2297"/>
      <c r="EU232" s="2297"/>
      <c r="EV232" s="2297"/>
      <c r="EW232" s="2297"/>
      <c r="EX232" s="2297"/>
      <c r="EY232" s="2297"/>
      <c r="EZ232" s="2297"/>
      <c r="FA232" s="2297"/>
      <c r="FB232" s="2297"/>
      <c r="FC232" s="2297"/>
      <c r="FD232" s="2297"/>
      <c r="FE232" s="2297"/>
      <c r="FF232" s="2297"/>
      <c r="FG232" s="2297"/>
      <c r="FH232" s="2297"/>
      <c r="FI232" s="2297"/>
      <c r="FJ232" s="2297"/>
      <c r="FK232" s="2297"/>
      <c r="FL232" s="2297"/>
      <c r="FM232" s="2297"/>
      <c r="FN232" s="2297"/>
      <c r="FO232" s="2297"/>
      <c r="FP232" s="2297"/>
      <c r="FQ232" s="2297"/>
      <c r="FR232" s="2297"/>
      <c r="FS232" s="2297"/>
      <c r="FT232" s="2297"/>
      <c r="FU232" s="2297"/>
      <c r="FV232" s="2297"/>
      <c r="FW232" s="2297"/>
      <c r="FX232" s="2297"/>
      <c r="FY232" s="2297"/>
      <c r="FZ232" s="2297"/>
      <c r="GA232" s="2297"/>
      <c r="GB232" s="2297"/>
      <c r="GC232" s="2297"/>
      <c r="GD232" s="2297"/>
      <c r="GE232" s="2297"/>
      <c r="GF232" s="2297"/>
      <c r="GG232" s="2297"/>
      <c r="GH232" s="2297"/>
      <c r="GI232" s="2297"/>
      <c r="GJ232" s="2297"/>
      <c r="GK232" s="2297"/>
      <c r="GL232" s="2297"/>
      <c r="GM232" s="2297"/>
      <c r="GN232" s="2297"/>
      <c r="GO232" s="2297"/>
      <c r="GP232" s="2297"/>
      <c r="GQ232" s="2297"/>
      <c r="GR232" s="2297"/>
      <c r="GS232" s="2297"/>
      <c r="GT232" s="2297"/>
      <c r="GU232" s="2297"/>
      <c r="GV232" s="2297"/>
      <c r="GW232" s="2297"/>
      <c r="GX232" s="2297"/>
      <c r="GY232" s="2297"/>
      <c r="GZ232" s="2297"/>
      <c r="HA232" s="2297"/>
      <c r="HB232" s="2297"/>
      <c r="HC232" s="2297"/>
      <c r="HD232" s="2297"/>
      <c r="HE232" s="2297"/>
      <c r="HF232" s="2297"/>
      <c r="HG232" s="2297"/>
      <c r="HH232" s="2297"/>
      <c r="HI232" s="2297"/>
      <c r="HJ232" s="2297"/>
      <c r="HK232" s="2297"/>
      <c r="HL232" s="2297"/>
      <c r="HM232" s="2297"/>
      <c r="HN232" s="2297"/>
      <c r="HO232" s="2297"/>
      <c r="HP232" s="2297"/>
      <c r="HQ232" s="2297"/>
      <c r="HR232" s="2297"/>
      <c r="HS232" s="2297"/>
      <c r="HT232" s="2297"/>
      <c r="HU232" s="2297"/>
      <c r="HV232" s="2297"/>
      <c r="HW232" s="2297"/>
      <c r="HX232" s="2297"/>
      <c r="HY232" s="2297"/>
      <c r="HZ232" s="2297"/>
      <c r="IA232" s="2297"/>
      <c r="IB232" s="2297"/>
      <c r="IC232" s="2297"/>
      <c r="ID232" s="2297"/>
      <c r="IE232" s="2297"/>
      <c r="IF232" s="2297"/>
      <c r="IG232" s="2297"/>
      <c r="IH232" s="2297"/>
      <c r="II232" s="2297"/>
      <c r="IJ232" s="2297"/>
      <c r="IK232" s="2297"/>
      <c r="IL232" s="2297"/>
      <c r="IM232" s="2297"/>
      <c r="IN232" s="2297"/>
      <c r="IO232" s="2297"/>
      <c r="IP232" s="2297"/>
      <c r="IQ232" s="2297"/>
      <c r="IR232" s="2297"/>
      <c r="IS232" s="2297"/>
      <c r="IT232" s="2297"/>
      <c r="IU232" s="2297"/>
      <c r="IV232" s="2297"/>
    </row>
    <row r="233" spans="3:256">
      <c r="C233" s="2298"/>
      <c r="D233" s="2298"/>
      <c r="E233" s="2298"/>
      <c r="F233" s="2298"/>
      <c r="G233" s="2298"/>
      <c r="H233" s="2298"/>
      <c r="AC233" s="2297"/>
      <c r="AD233" s="2297"/>
      <c r="AE233" s="2297"/>
      <c r="AF233" s="2297"/>
      <c r="AG233" s="2297"/>
      <c r="AH233" s="2297"/>
      <c r="AI233" s="2297"/>
      <c r="AJ233" s="2297"/>
      <c r="AK233" s="2297"/>
      <c r="AL233" s="2297"/>
      <c r="AM233" s="2297"/>
      <c r="AN233" s="2297"/>
      <c r="AO233" s="2297"/>
      <c r="AP233" s="2297"/>
      <c r="AQ233" s="2297"/>
      <c r="AR233" s="2297"/>
      <c r="AS233" s="2297"/>
      <c r="AT233" s="2297"/>
      <c r="AU233" s="2297"/>
      <c r="AV233" s="2297"/>
      <c r="AW233" s="2297"/>
      <c r="AX233" s="2297"/>
      <c r="AY233" s="2297"/>
      <c r="AZ233" s="2297"/>
      <c r="BA233" s="2297"/>
      <c r="BB233" s="2297"/>
      <c r="BC233" s="2297"/>
      <c r="BD233" s="2297"/>
      <c r="BE233" s="2297"/>
      <c r="BF233" s="2297"/>
      <c r="BG233" s="2297"/>
      <c r="BH233" s="2297"/>
      <c r="BI233" s="2297"/>
      <c r="BJ233" s="2297"/>
      <c r="BK233" s="2297"/>
      <c r="BL233" s="2297"/>
      <c r="BM233" s="2297"/>
      <c r="BN233" s="2297"/>
      <c r="BO233" s="2297"/>
      <c r="BP233" s="2297"/>
      <c r="BQ233" s="2297"/>
      <c r="BR233" s="2297"/>
      <c r="BS233" s="2297"/>
      <c r="BT233" s="2297"/>
      <c r="BU233" s="2297"/>
      <c r="BV233" s="2297"/>
      <c r="BW233" s="2297"/>
      <c r="BX233" s="2297"/>
      <c r="BY233" s="2297"/>
      <c r="BZ233" s="2297"/>
      <c r="CA233" s="2297"/>
      <c r="CB233" s="2297"/>
      <c r="CC233" s="2297"/>
      <c r="CD233" s="2297"/>
      <c r="CE233" s="2297"/>
      <c r="CF233" s="2297"/>
      <c r="CG233" s="2297"/>
      <c r="CH233" s="2297"/>
      <c r="CI233" s="2297"/>
      <c r="CJ233" s="2297"/>
      <c r="CK233" s="2297"/>
      <c r="CL233" s="2297"/>
      <c r="CM233" s="2297"/>
      <c r="CN233" s="2297"/>
      <c r="CO233" s="2297"/>
      <c r="CP233" s="2297"/>
      <c r="CQ233" s="2297"/>
      <c r="CR233" s="2297"/>
      <c r="CS233" s="2297"/>
      <c r="CT233" s="2297"/>
      <c r="CU233" s="2297"/>
      <c r="CV233" s="2297"/>
      <c r="CW233" s="2297"/>
      <c r="CX233" s="2297"/>
      <c r="CY233" s="2297"/>
      <c r="CZ233" s="2297"/>
      <c r="DA233" s="2297"/>
      <c r="DB233" s="2297"/>
      <c r="DC233" s="2297"/>
      <c r="DD233" s="2297"/>
      <c r="DE233" s="2297"/>
      <c r="DF233" s="2297"/>
      <c r="DG233" s="2297"/>
      <c r="DH233" s="2297"/>
      <c r="DI233" s="2297"/>
      <c r="DJ233" s="2297"/>
      <c r="DK233" s="2297"/>
      <c r="DL233" s="2297"/>
      <c r="DM233" s="2297"/>
      <c r="DN233" s="2297"/>
      <c r="DO233" s="2297"/>
      <c r="DP233" s="2297"/>
      <c r="DQ233" s="2297"/>
      <c r="DR233" s="2297"/>
      <c r="DS233" s="2297"/>
      <c r="DT233" s="2297"/>
      <c r="DU233" s="2297"/>
      <c r="DV233" s="2297"/>
      <c r="DW233" s="2297"/>
      <c r="DX233" s="2297"/>
      <c r="DY233" s="2297"/>
      <c r="DZ233" s="2297"/>
      <c r="EA233" s="2297"/>
      <c r="EB233" s="2297"/>
      <c r="EC233" s="2297"/>
      <c r="ED233" s="2297"/>
      <c r="EE233" s="2297"/>
      <c r="EF233" s="2297"/>
      <c r="EG233" s="2297"/>
      <c r="EH233" s="2297"/>
      <c r="EI233" s="2297"/>
      <c r="EJ233" s="2297"/>
      <c r="EK233" s="2297"/>
      <c r="EL233" s="2297"/>
      <c r="EM233" s="2297"/>
      <c r="EN233" s="2297"/>
      <c r="EO233" s="2297"/>
      <c r="EP233" s="2297"/>
      <c r="EQ233" s="2297"/>
      <c r="ER233" s="2297"/>
      <c r="ES233" s="2297"/>
      <c r="ET233" s="2297"/>
      <c r="EU233" s="2297"/>
      <c r="EV233" s="2297"/>
      <c r="EW233" s="2297"/>
      <c r="EX233" s="2297"/>
      <c r="EY233" s="2297"/>
      <c r="EZ233" s="2297"/>
      <c r="FA233" s="2297"/>
      <c r="FB233" s="2297"/>
      <c r="FC233" s="2297"/>
      <c r="FD233" s="2297"/>
      <c r="FE233" s="2297"/>
      <c r="FF233" s="2297"/>
      <c r="FG233" s="2297"/>
      <c r="FH233" s="2297"/>
      <c r="FI233" s="2297"/>
      <c r="FJ233" s="2297"/>
      <c r="FK233" s="2297"/>
      <c r="FL233" s="2297"/>
      <c r="FM233" s="2297"/>
      <c r="FN233" s="2297"/>
      <c r="FO233" s="2297"/>
      <c r="FP233" s="2297"/>
      <c r="FQ233" s="2297"/>
      <c r="FR233" s="2297"/>
      <c r="FS233" s="2297"/>
      <c r="FT233" s="2297"/>
      <c r="FU233" s="2297"/>
      <c r="FV233" s="2297"/>
      <c r="FW233" s="2297"/>
      <c r="FX233" s="2297"/>
      <c r="FY233" s="2297"/>
      <c r="FZ233" s="2297"/>
      <c r="GA233" s="2297"/>
      <c r="GB233" s="2297"/>
      <c r="GC233" s="2297"/>
      <c r="GD233" s="2297"/>
      <c r="GE233" s="2297"/>
      <c r="GF233" s="2297"/>
      <c r="GG233" s="2297"/>
      <c r="GH233" s="2297"/>
      <c r="GI233" s="2297"/>
      <c r="GJ233" s="2297"/>
      <c r="GK233" s="2297"/>
      <c r="GL233" s="2297"/>
      <c r="GM233" s="2297"/>
      <c r="GN233" s="2297"/>
      <c r="GO233" s="2297"/>
      <c r="GP233" s="2297"/>
      <c r="GQ233" s="2297"/>
      <c r="GR233" s="2297"/>
      <c r="GS233" s="2297"/>
      <c r="GT233" s="2297"/>
      <c r="GU233" s="2297"/>
      <c r="GV233" s="2297"/>
      <c r="GW233" s="2297"/>
      <c r="GX233" s="2297"/>
      <c r="GY233" s="2297"/>
      <c r="GZ233" s="2297"/>
      <c r="HA233" s="2297"/>
      <c r="HB233" s="2297"/>
      <c r="HC233" s="2297"/>
      <c r="HD233" s="2297"/>
      <c r="HE233" s="2297"/>
      <c r="HF233" s="2297"/>
      <c r="HG233" s="2297"/>
      <c r="HH233" s="2297"/>
      <c r="HI233" s="2297"/>
      <c r="HJ233" s="2297"/>
      <c r="HK233" s="2297"/>
      <c r="HL233" s="2297"/>
      <c r="HM233" s="2297"/>
      <c r="HN233" s="2297"/>
      <c r="HO233" s="2297"/>
      <c r="HP233" s="2297"/>
      <c r="HQ233" s="2297"/>
      <c r="HR233" s="2297"/>
      <c r="HS233" s="2297"/>
      <c r="HT233" s="2297"/>
      <c r="HU233" s="2297"/>
      <c r="HV233" s="2297"/>
      <c r="HW233" s="2297"/>
      <c r="HX233" s="2297"/>
      <c r="HY233" s="2297"/>
      <c r="HZ233" s="2297"/>
      <c r="IA233" s="2297"/>
      <c r="IB233" s="2297"/>
      <c r="IC233" s="2297"/>
      <c r="ID233" s="2297"/>
      <c r="IE233" s="2297"/>
      <c r="IF233" s="2297"/>
      <c r="IG233" s="2297"/>
      <c r="IH233" s="2297"/>
      <c r="II233" s="2297"/>
      <c r="IJ233" s="2297"/>
      <c r="IK233" s="2297"/>
      <c r="IL233" s="2297"/>
      <c r="IM233" s="2297"/>
      <c r="IN233" s="2297"/>
      <c r="IO233" s="2297"/>
      <c r="IP233" s="2297"/>
      <c r="IQ233" s="2297"/>
      <c r="IR233" s="2297"/>
      <c r="IS233" s="2297"/>
      <c r="IT233" s="2297"/>
      <c r="IU233" s="2297"/>
      <c r="IV233" s="2297"/>
    </row>
    <row r="234" spans="3:256">
      <c r="C234" s="2298"/>
      <c r="D234" s="2298"/>
      <c r="E234" s="2298"/>
      <c r="F234" s="2298"/>
      <c r="G234" s="2298"/>
      <c r="H234" s="2298"/>
      <c r="AC234" s="2297"/>
      <c r="AD234" s="2297"/>
      <c r="AE234" s="2297"/>
      <c r="AF234" s="2297"/>
      <c r="AG234" s="2297"/>
      <c r="AH234" s="2297"/>
      <c r="AI234" s="2297"/>
      <c r="AJ234" s="2297"/>
      <c r="AK234" s="2297"/>
      <c r="AL234" s="2297"/>
      <c r="AM234" s="2297"/>
      <c r="AN234" s="2297"/>
      <c r="AO234" s="2297"/>
      <c r="AP234" s="2297"/>
      <c r="AQ234" s="2297"/>
      <c r="AR234" s="2297"/>
      <c r="AS234" s="2297"/>
      <c r="AT234" s="2297"/>
      <c r="AU234" s="2297"/>
      <c r="AV234" s="2297"/>
      <c r="AW234" s="2297"/>
      <c r="AX234" s="2297"/>
      <c r="AY234" s="2297"/>
      <c r="AZ234" s="2297"/>
      <c r="BA234" s="2297"/>
      <c r="BB234" s="2297"/>
      <c r="BC234" s="2297"/>
      <c r="BD234" s="2297"/>
      <c r="BE234" s="2297"/>
      <c r="BF234" s="2297"/>
      <c r="BG234" s="2297"/>
      <c r="BH234" s="2297"/>
      <c r="BI234" s="2297"/>
      <c r="BJ234" s="2297"/>
      <c r="BK234" s="2297"/>
      <c r="BL234" s="2297"/>
      <c r="BM234" s="2297"/>
      <c r="BN234" s="2297"/>
      <c r="BO234" s="2297"/>
      <c r="BP234" s="2297"/>
      <c r="BQ234" s="2297"/>
      <c r="BR234" s="2297"/>
      <c r="BS234" s="2297"/>
      <c r="BT234" s="2297"/>
      <c r="BU234" s="2297"/>
      <c r="BV234" s="2297"/>
      <c r="BW234" s="2297"/>
      <c r="BX234" s="2297"/>
      <c r="BY234" s="2297"/>
      <c r="BZ234" s="2297"/>
      <c r="CA234" s="2297"/>
      <c r="CB234" s="2297"/>
      <c r="CC234" s="2297"/>
      <c r="CD234" s="2297"/>
      <c r="CE234" s="2297"/>
      <c r="CF234" s="2297"/>
      <c r="CG234" s="2297"/>
      <c r="CH234" s="2297"/>
      <c r="CI234" s="2297"/>
      <c r="CJ234" s="2297"/>
      <c r="CK234" s="2297"/>
      <c r="CL234" s="2297"/>
      <c r="CM234" s="2297"/>
      <c r="CN234" s="2297"/>
      <c r="CO234" s="2297"/>
      <c r="CP234" s="2297"/>
      <c r="CQ234" s="2297"/>
      <c r="CR234" s="2297"/>
      <c r="CS234" s="2297"/>
      <c r="CT234" s="2297"/>
      <c r="CU234" s="2297"/>
      <c r="CV234" s="2297"/>
      <c r="CW234" s="2297"/>
      <c r="CX234" s="2297"/>
      <c r="CY234" s="2297"/>
      <c r="CZ234" s="2297"/>
      <c r="DA234" s="2297"/>
      <c r="DB234" s="2297"/>
      <c r="DC234" s="2297"/>
      <c r="DD234" s="2297"/>
      <c r="DE234" s="2297"/>
      <c r="DF234" s="2297"/>
      <c r="DG234" s="2297"/>
      <c r="DH234" s="2297"/>
      <c r="DI234" s="2297"/>
      <c r="DJ234" s="2297"/>
      <c r="DK234" s="2297"/>
      <c r="DL234" s="2297"/>
      <c r="DM234" s="2297"/>
      <c r="DN234" s="2297"/>
      <c r="DO234" s="2297"/>
      <c r="DP234" s="2297"/>
      <c r="DQ234" s="2297"/>
      <c r="DR234" s="2297"/>
      <c r="DS234" s="2297"/>
      <c r="DT234" s="2297"/>
      <c r="DU234" s="2297"/>
      <c r="DV234" s="2297"/>
      <c r="DW234" s="2297"/>
      <c r="DX234" s="2297"/>
      <c r="DY234" s="2297"/>
      <c r="DZ234" s="2297"/>
      <c r="EA234" s="2297"/>
      <c r="EB234" s="2297"/>
      <c r="EC234" s="2297"/>
      <c r="ED234" s="2297"/>
      <c r="EE234" s="2297"/>
      <c r="EF234" s="2297"/>
      <c r="EG234" s="2297"/>
      <c r="EH234" s="2297"/>
      <c r="EI234" s="2297"/>
      <c r="EJ234" s="2297"/>
      <c r="EK234" s="2297"/>
      <c r="EL234" s="2297"/>
      <c r="EM234" s="2297"/>
      <c r="EN234" s="2297"/>
      <c r="EO234" s="2297"/>
      <c r="EP234" s="2297"/>
      <c r="EQ234" s="2297"/>
      <c r="ER234" s="2297"/>
      <c r="ES234" s="2297"/>
      <c r="ET234" s="2297"/>
      <c r="EU234" s="2297"/>
      <c r="EV234" s="2297"/>
      <c r="EW234" s="2297"/>
      <c r="EX234" s="2297"/>
      <c r="EY234" s="2297"/>
      <c r="EZ234" s="2297"/>
      <c r="FA234" s="2297"/>
      <c r="FB234" s="2297"/>
      <c r="FC234" s="2297"/>
      <c r="FD234" s="2297"/>
      <c r="FE234" s="2297"/>
      <c r="FF234" s="2297"/>
      <c r="FG234" s="2297"/>
      <c r="FH234" s="2297"/>
      <c r="FI234" s="2297"/>
      <c r="FJ234" s="2297"/>
      <c r="FK234" s="2297"/>
      <c r="FL234" s="2297"/>
      <c r="FM234" s="2297"/>
      <c r="FN234" s="2297"/>
      <c r="FO234" s="2297"/>
      <c r="FP234" s="2297"/>
      <c r="FQ234" s="2297"/>
      <c r="FR234" s="2297"/>
      <c r="FS234" s="2297"/>
      <c r="FT234" s="2297"/>
      <c r="FU234" s="2297"/>
      <c r="FV234" s="2297"/>
      <c r="FW234" s="2297"/>
      <c r="FX234" s="2297"/>
      <c r="FY234" s="2297"/>
      <c r="FZ234" s="2297"/>
      <c r="GA234" s="2297"/>
      <c r="GB234" s="2297"/>
      <c r="GC234" s="2297"/>
      <c r="GD234" s="2297"/>
      <c r="GE234" s="2297"/>
      <c r="GF234" s="2297"/>
      <c r="GG234" s="2297"/>
      <c r="GH234" s="2297"/>
      <c r="GI234" s="2297"/>
      <c r="GJ234" s="2297"/>
      <c r="GK234" s="2297"/>
      <c r="GL234" s="2297"/>
      <c r="GM234" s="2297"/>
      <c r="GN234" s="2297"/>
      <c r="GO234" s="2297"/>
      <c r="GP234" s="2297"/>
      <c r="GQ234" s="2297"/>
      <c r="GR234" s="2297"/>
      <c r="GS234" s="2297"/>
      <c r="GT234" s="2297"/>
      <c r="GU234" s="2297"/>
      <c r="GV234" s="2297"/>
      <c r="GW234" s="2297"/>
      <c r="GX234" s="2297"/>
      <c r="GY234" s="2297"/>
      <c r="GZ234" s="2297"/>
      <c r="HA234" s="2297"/>
      <c r="HB234" s="2297"/>
      <c r="HC234" s="2297"/>
      <c r="HD234" s="2297"/>
      <c r="HE234" s="2297"/>
      <c r="HF234" s="2297"/>
      <c r="HG234" s="2297"/>
      <c r="HH234" s="2297"/>
      <c r="HI234" s="2297"/>
      <c r="HJ234" s="2297"/>
      <c r="HK234" s="2297"/>
      <c r="HL234" s="2297"/>
      <c r="HM234" s="2297"/>
      <c r="HN234" s="2297"/>
      <c r="HO234" s="2297"/>
      <c r="HP234" s="2297"/>
      <c r="HQ234" s="2297"/>
      <c r="HR234" s="2297"/>
      <c r="HS234" s="2297"/>
      <c r="HT234" s="2297"/>
      <c r="HU234" s="2297"/>
      <c r="HV234" s="2297"/>
      <c r="HW234" s="2297"/>
      <c r="HX234" s="2297"/>
      <c r="HY234" s="2297"/>
      <c r="HZ234" s="2297"/>
      <c r="IA234" s="2297"/>
      <c r="IB234" s="2297"/>
      <c r="IC234" s="2297"/>
      <c r="ID234" s="2297"/>
      <c r="IE234" s="2297"/>
      <c r="IF234" s="2297"/>
      <c r="IG234" s="2297"/>
      <c r="IH234" s="2297"/>
      <c r="II234" s="2297"/>
      <c r="IJ234" s="2297"/>
      <c r="IK234" s="2297"/>
      <c r="IL234" s="2297"/>
      <c r="IM234" s="2297"/>
      <c r="IN234" s="2297"/>
      <c r="IO234" s="2297"/>
      <c r="IP234" s="2297"/>
      <c r="IQ234" s="2297"/>
      <c r="IR234" s="2297"/>
      <c r="IS234" s="2297"/>
      <c r="IT234" s="2297"/>
      <c r="IU234" s="2297"/>
      <c r="IV234" s="2297"/>
    </row>
    <row r="235" spans="3:256">
      <c r="C235" s="2298"/>
      <c r="D235" s="2298"/>
      <c r="E235" s="2298"/>
      <c r="F235" s="2298"/>
      <c r="G235" s="2298"/>
      <c r="H235" s="2298"/>
      <c r="AC235" s="2297"/>
      <c r="AD235" s="2297"/>
      <c r="AE235" s="2297"/>
      <c r="AF235" s="2297"/>
      <c r="AG235" s="2297"/>
      <c r="AH235" s="2297"/>
      <c r="AI235" s="2297"/>
      <c r="AJ235" s="2297"/>
      <c r="AK235" s="2297"/>
      <c r="AL235" s="2297"/>
      <c r="AM235" s="2297"/>
      <c r="AN235" s="2297"/>
      <c r="AO235" s="2297"/>
      <c r="AP235" s="2297"/>
      <c r="AQ235" s="2297"/>
      <c r="AR235" s="2297"/>
      <c r="AS235" s="2297"/>
      <c r="AT235" s="2297"/>
      <c r="AU235" s="2297"/>
      <c r="AV235" s="2297"/>
      <c r="AW235" s="2297"/>
      <c r="AX235" s="2297"/>
      <c r="AY235" s="2297"/>
      <c r="AZ235" s="2297"/>
      <c r="BA235" s="2297"/>
      <c r="BB235" s="2297"/>
      <c r="BC235" s="2297"/>
      <c r="BD235" s="2297"/>
      <c r="BE235" s="2297"/>
      <c r="BF235" s="2297"/>
      <c r="BG235" s="2297"/>
      <c r="BH235" s="2297"/>
      <c r="BI235" s="2297"/>
      <c r="BJ235" s="2297"/>
      <c r="BK235" s="2297"/>
      <c r="BL235" s="2297"/>
      <c r="BM235" s="2297"/>
      <c r="BN235" s="2297"/>
      <c r="BO235" s="2297"/>
      <c r="BP235" s="2297"/>
      <c r="BQ235" s="2297"/>
      <c r="BR235" s="2297"/>
      <c r="BS235" s="2297"/>
      <c r="BT235" s="2297"/>
      <c r="BU235" s="2297"/>
      <c r="BV235" s="2297"/>
      <c r="BW235" s="2297"/>
      <c r="BX235" s="2297"/>
      <c r="BY235" s="2297"/>
      <c r="BZ235" s="2297"/>
      <c r="CA235" s="2297"/>
      <c r="CB235" s="2297"/>
      <c r="CC235" s="2297"/>
      <c r="CD235" s="2297"/>
      <c r="CE235" s="2297"/>
      <c r="CF235" s="2297"/>
      <c r="CG235" s="2297"/>
      <c r="CH235" s="2297"/>
      <c r="CI235" s="2297"/>
      <c r="CJ235" s="2297"/>
      <c r="CK235" s="2297"/>
      <c r="CL235" s="2297"/>
      <c r="CM235" s="2297"/>
      <c r="CN235" s="2297"/>
      <c r="CO235" s="2297"/>
      <c r="CP235" s="2297"/>
      <c r="CQ235" s="2297"/>
      <c r="CR235" s="2297"/>
      <c r="CS235" s="2297"/>
      <c r="CT235" s="2297"/>
      <c r="CU235" s="2297"/>
      <c r="CV235" s="2297"/>
      <c r="CW235" s="2297"/>
      <c r="CX235" s="2297"/>
      <c r="CY235" s="2297"/>
      <c r="CZ235" s="2297"/>
      <c r="DA235" s="2297"/>
      <c r="DB235" s="2297"/>
      <c r="DC235" s="2297"/>
      <c r="DD235" s="2297"/>
      <c r="DE235" s="2297"/>
      <c r="DF235" s="2297"/>
      <c r="DG235" s="2297"/>
      <c r="DH235" s="2297"/>
      <c r="DI235" s="2297"/>
      <c r="DJ235" s="2297"/>
      <c r="DK235" s="2297"/>
      <c r="DL235" s="2297"/>
      <c r="DM235" s="2297"/>
      <c r="DN235" s="2297"/>
      <c r="DO235" s="2297"/>
      <c r="DP235" s="2297"/>
      <c r="DQ235" s="2297"/>
      <c r="DR235" s="2297"/>
      <c r="DS235" s="2297"/>
      <c r="DT235" s="2297"/>
      <c r="DU235" s="2297"/>
      <c r="DV235" s="2297"/>
      <c r="DW235" s="2297"/>
      <c r="DX235" s="2297"/>
      <c r="DY235" s="2297"/>
      <c r="DZ235" s="2297"/>
      <c r="EA235" s="2297"/>
      <c r="EB235" s="2297"/>
      <c r="EC235" s="2297"/>
      <c r="ED235" s="2297"/>
      <c r="EE235" s="2297"/>
      <c r="EF235" s="2297"/>
      <c r="EG235" s="2297"/>
      <c r="EH235" s="2297"/>
      <c r="EI235" s="2297"/>
      <c r="EJ235" s="2297"/>
      <c r="EK235" s="2297"/>
      <c r="EL235" s="2297"/>
      <c r="EM235" s="2297"/>
      <c r="EN235" s="2297"/>
      <c r="EO235" s="2297"/>
      <c r="EP235" s="2297"/>
      <c r="EQ235" s="2297"/>
      <c r="ER235" s="2297"/>
      <c r="ES235" s="2297"/>
      <c r="ET235" s="2297"/>
      <c r="EU235" s="2297"/>
      <c r="EV235" s="2297"/>
      <c r="EW235" s="2297"/>
      <c r="EX235" s="2297"/>
      <c r="EY235" s="2297"/>
      <c r="EZ235" s="2297"/>
      <c r="FA235" s="2297"/>
      <c r="FB235" s="2297"/>
      <c r="FC235" s="2297"/>
      <c r="FD235" s="2297"/>
      <c r="FE235" s="2297"/>
      <c r="FF235" s="2297"/>
      <c r="FG235" s="2297"/>
      <c r="FH235" s="2297"/>
      <c r="FI235" s="2297"/>
      <c r="FJ235" s="2297"/>
      <c r="FK235" s="2297"/>
      <c r="FL235" s="2297"/>
      <c r="FM235" s="2297"/>
      <c r="FN235" s="2297"/>
      <c r="FO235" s="2297"/>
      <c r="FP235" s="2297"/>
      <c r="FQ235" s="2297"/>
      <c r="FR235" s="2297"/>
      <c r="FS235" s="2297"/>
      <c r="FT235" s="2297"/>
      <c r="FU235" s="2297"/>
      <c r="FV235" s="2297"/>
      <c r="FW235" s="2297"/>
      <c r="FX235" s="2297"/>
      <c r="FY235" s="2297"/>
      <c r="FZ235" s="2297"/>
      <c r="GA235" s="2297"/>
      <c r="GB235" s="2297"/>
      <c r="GC235" s="2297"/>
      <c r="GD235" s="2297"/>
      <c r="GE235" s="2297"/>
      <c r="GF235" s="2297"/>
      <c r="GG235" s="2297"/>
      <c r="GH235" s="2297"/>
      <c r="GI235" s="2297"/>
      <c r="GJ235" s="2297"/>
      <c r="GK235" s="2297"/>
      <c r="GL235" s="2297"/>
      <c r="GM235" s="2297"/>
      <c r="GN235" s="2297"/>
      <c r="GO235" s="2297"/>
      <c r="GP235" s="2297"/>
      <c r="GQ235" s="2297"/>
      <c r="GR235" s="2297"/>
      <c r="GS235" s="2297"/>
      <c r="GT235" s="2297"/>
      <c r="GU235" s="2297"/>
      <c r="GV235" s="2297"/>
      <c r="GW235" s="2297"/>
      <c r="GX235" s="2297"/>
      <c r="GY235" s="2297"/>
      <c r="GZ235" s="2297"/>
      <c r="HA235" s="2297"/>
      <c r="HB235" s="2297"/>
      <c r="HC235" s="2297"/>
      <c r="HD235" s="2297"/>
      <c r="HE235" s="2297"/>
      <c r="HF235" s="2297"/>
      <c r="HG235" s="2297"/>
      <c r="HH235" s="2297"/>
      <c r="HI235" s="2297"/>
      <c r="HJ235" s="2297"/>
      <c r="HK235" s="2297"/>
      <c r="HL235" s="2297"/>
      <c r="HM235" s="2297"/>
      <c r="HN235" s="2297"/>
      <c r="HO235" s="2297"/>
      <c r="HP235" s="2297"/>
      <c r="HQ235" s="2297"/>
      <c r="HR235" s="2297"/>
      <c r="HS235" s="2297"/>
      <c r="HT235" s="2297"/>
      <c r="HU235" s="2297"/>
      <c r="HV235" s="2297"/>
      <c r="HW235" s="2297"/>
      <c r="HX235" s="2297"/>
      <c r="HY235" s="2297"/>
      <c r="HZ235" s="2297"/>
      <c r="IA235" s="2297"/>
      <c r="IB235" s="2297"/>
      <c r="IC235" s="2297"/>
      <c r="ID235" s="2297"/>
      <c r="IE235" s="2297"/>
      <c r="IF235" s="2297"/>
      <c r="IG235" s="2297"/>
      <c r="IH235" s="2297"/>
      <c r="II235" s="2297"/>
      <c r="IJ235" s="2297"/>
      <c r="IK235" s="2297"/>
      <c r="IL235" s="2297"/>
      <c r="IM235" s="2297"/>
      <c r="IN235" s="2297"/>
      <c r="IO235" s="2297"/>
      <c r="IP235" s="2297"/>
      <c r="IQ235" s="2297"/>
      <c r="IR235" s="2297"/>
      <c r="IS235" s="2297"/>
      <c r="IT235" s="2297"/>
      <c r="IU235" s="2297"/>
      <c r="IV235" s="2297"/>
    </row>
    <row r="236" spans="3:256">
      <c r="C236" s="2298"/>
      <c r="D236" s="2298"/>
      <c r="E236" s="2298"/>
      <c r="F236" s="2298"/>
      <c r="G236" s="2298"/>
      <c r="H236" s="2298"/>
      <c r="AC236" s="2297"/>
      <c r="AD236" s="2297"/>
      <c r="AE236" s="2297"/>
      <c r="AF236" s="2297"/>
      <c r="AG236" s="2297"/>
      <c r="AH236" s="2297"/>
      <c r="AI236" s="2297"/>
      <c r="AJ236" s="2297"/>
      <c r="AK236" s="2297"/>
      <c r="AL236" s="2297"/>
      <c r="AM236" s="2297"/>
      <c r="AN236" s="2297"/>
      <c r="AO236" s="2297"/>
      <c r="AP236" s="2297"/>
      <c r="AQ236" s="2297"/>
      <c r="AR236" s="2297"/>
      <c r="AS236" s="2297"/>
      <c r="AT236" s="2297"/>
      <c r="AU236" s="2297"/>
      <c r="AV236" s="2297"/>
      <c r="AW236" s="2297"/>
      <c r="AX236" s="2297"/>
      <c r="AY236" s="2297"/>
      <c r="AZ236" s="2297"/>
      <c r="BA236" s="2297"/>
      <c r="BB236" s="2297"/>
      <c r="BC236" s="2297"/>
      <c r="BD236" s="2297"/>
      <c r="BE236" s="2297"/>
      <c r="BF236" s="2297"/>
      <c r="BG236" s="2297"/>
      <c r="BH236" s="2297"/>
      <c r="BI236" s="2297"/>
      <c r="BJ236" s="2297"/>
      <c r="BK236" s="2297"/>
      <c r="BL236" s="2297"/>
      <c r="BM236" s="2297"/>
      <c r="BN236" s="2297"/>
      <c r="BO236" s="2297"/>
      <c r="BP236" s="2297"/>
      <c r="BQ236" s="2297"/>
      <c r="BR236" s="2297"/>
      <c r="BS236" s="2297"/>
      <c r="BT236" s="2297"/>
      <c r="BU236" s="2297"/>
      <c r="BV236" s="2297"/>
      <c r="BW236" s="2297"/>
      <c r="BX236" s="2297"/>
      <c r="BY236" s="2297"/>
      <c r="BZ236" s="2297"/>
      <c r="CA236" s="2297"/>
      <c r="CB236" s="2297"/>
      <c r="CC236" s="2297"/>
      <c r="CD236" s="2297"/>
      <c r="CE236" s="2297"/>
      <c r="CF236" s="2297"/>
      <c r="CG236" s="2297"/>
      <c r="CH236" s="2297"/>
      <c r="CI236" s="2297"/>
      <c r="CJ236" s="2297"/>
      <c r="CK236" s="2297"/>
      <c r="CL236" s="2297"/>
      <c r="CM236" s="2297"/>
      <c r="CN236" s="2297"/>
      <c r="CO236" s="2297"/>
      <c r="CP236" s="2297"/>
      <c r="CQ236" s="2297"/>
      <c r="CR236" s="2297"/>
      <c r="CS236" s="2297"/>
      <c r="CT236" s="2297"/>
      <c r="CU236" s="2297"/>
      <c r="CV236" s="2297"/>
      <c r="CW236" s="2297"/>
      <c r="CX236" s="2297"/>
      <c r="CY236" s="2297"/>
      <c r="CZ236" s="2297"/>
      <c r="DA236" s="2297"/>
      <c r="DB236" s="2297"/>
      <c r="DC236" s="2297"/>
      <c r="DD236" s="2297"/>
      <c r="DE236" s="2297"/>
      <c r="DF236" s="2297"/>
      <c r="DG236" s="2297"/>
      <c r="DH236" s="2297"/>
      <c r="DI236" s="2297"/>
      <c r="DJ236" s="2297"/>
      <c r="DK236" s="2297"/>
      <c r="DL236" s="2297"/>
      <c r="DM236" s="2297"/>
      <c r="DN236" s="2297"/>
      <c r="DO236" s="2297"/>
      <c r="DP236" s="2297"/>
      <c r="DQ236" s="2297"/>
      <c r="DR236" s="2297"/>
      <c r="DS236" s="2297"/>
      <c r="DT236" s="2297"/>
      <c r="DU236" s="2297"/>
      <c r="DV236" s="2297"/>
      <c r="DW236" s="2297"/>
      <c r="DX236" s="2297"/>
      <c r="DY236" s="2297"/>
      <c r="DZ236" s="2297"/>
      <c r="EA236" s="2297"/>
      <c r="EB236" s="2297"/>
      <c r="EC236" s="2297"/>
      <c r="ED236" s="2297"/>
      <c r="EE236" s="2297"/>
      <c r="EF236" s="2297"/>
      <c r="EG236" s="2297"/>
      <c r="EH236" s="2297"/>
      <c r="EI236" s="2297"/>
      <c r="EJ236" s="2297"/>
      <c r="EK236" s="2297"/>
      <c r="EL236" s="2297"/>
      <c r="EM236" s="2297"/>
      <c r="EN236" s="2297"/>
      <c r="EO236" s="2297"/>
      <c r="EP236" s="2297"/>
      <c r="EQ236" s="2297"/>
      <c r="ER236" s="2297"/>
      <c r="ES236" s="2297"/>
      <c r="ET236" s="2297"/>
      <c r="EU236" s="2297"/>
      <c r="EV236" s="2297"/>
      <c r="EW236" s="2297"/>
      <c r="EX236" s="2297"/>
      <c r="EY236" s="2297"/>
      <c r="EZ236" s="2297"/>
      <c r="FA236" s="2297"/>
      <c r="FB236" s="2297"/>
      <c r="FC236" s="2297"/>
      <c r="FD236" s="2297"/>
      <c r="FE236" s="2297"/>
      <c r="FF236" s="2297"/>
      <c r="FG236" s="2297"/>
      <c r="FH236" s="2297"/>
      <c r="FI236" s="2297"/>
      <c r="FJ236" s="2297"/>
      <c r="FK236" s="2297"/>
      <c r="FL236" s="2297"/>
      <c r="FM236" s="2297"/>
      <c r="FN236" s="2297"/>
      <c r="FO236" s="2297"/>
      <c r="FP236" s="2297"/>
      <c r="FQ236" s="2297"/>
      <c r="FR236" s="2297"/>
      <c r="FS236" s="2297"/>
      <c r="FT236" s="2297"/>
      <c r="FU236" s="2297"/>
      <c r="FV236" s="2297"/>
      <c r="FW236" s="2297"/>
      <c r="FX236" s="2297"/>
      <c r="FY236" s="2297"/>
      <c r="FZ236" s="2297"/>
      <c r="GA236" s="2297"/>
      <c r="GB236" s="2297"/>
      <c r="GC236" s="2297"/>
      <c r="GD236" s="2297"/>
      <c r="GE236" s="2297"/>
      <c r="GF236" s="2297"/>
      <c r="GG236" s="2297"/>
      <c r="GH236" s="2297"/>
      <c r="GI236" s="2297"/>
      <c r="GJ236" s="2297"/>
      <c r="GK236" s="2297"/>
      <c r="GL236" s="2297"/>
      <c r="GM236" s="2297"/>
      <c r="GN236" s="2297"/>
      <c r="GO236" s="2297"/>
      <c r="GP236" s="2297"/>
      <c r="GQ236" s="2297"/>
      <c r="GR236" s="2297"/>
      <c r="GS236" s="2297"/>
      <c r="GT236" s="2297"/>
      <c r="GU236" s="2297"/>
      <c r="GV236" s="2297"/>
      <c r="GW236" s="2297"/>
      <c r="GX236" s="2297"/>
      <c r="GY236" s="2297"/>
      <c r="GZ236" s="2297"/>
      <c r="HA236" s="2297"/>
      <c r="HB236" s="2297"/>
      <c r="HC236" s="2297"/>
      <c r="HD236" s="2297"/>
      <c r="HE236" s="2297"/>
      <c r="HF236" s="2297"/>
      <c r="HG236" s="2297"/>
      <c r="HH236" s="2297"/>
      <c r="HI236" s="2297"/>
      <c r="HJ236" s="2297"/>
      <c r="HK236" s="2297"/>
      <c r="HL236" s="2297"/>
      <c r="HM236" s="2297"/>
      <c r="HN236" s="2297"/>
      <c r="HO236" s="2297"/>
      <c r="HP236" s="2297"/>
      <c r="HQ236" s="2297"/>
      <c r="HR236" s="2297"/>
      <c r="HS236" s="2297"/>
      <c r="HT236" s="2297"/>
      <c r="HU236" s="2297"/>
      <c r="HV236" s="2297"/>
      <c r="HW236" s="2297"/>
      <c r="HX236" s="2297"/>
      <c r="HY236" s="2297"/>
      <c r="HZ236" s="2297"/>
      <c r="IA236" s="2297"/>
      <c r="IB236" s="2297"/>
      <c r="IC236" s="2297"/>
      <c r="ID236" s="2297"/>
      <c r="IE236" s="2297"/>
      <c r="IF236" s="2297"/>
      <c r="IG236" s="2297"/>
      <c r="IH236" s="2297"/>
      <c r="II236" s="2297"/>
      <c r="IJ236" s="2297"/>
      <c r="IK236" s="2297"/>
      <c r="IL236" s="2297"/>
      <c r="IM236" s="2297"/>
      <c r="IN236" s="2297"/>
      <c r="IO236" s="2297"/>
      <c r="IP236" s="2297"/>
      <c r="IQ236" s="2297"/>
      <c r="IR236" s="2297"/>
      <c r="IS236" s="2297"/>
      <c r="IT236" s="2297"/>
      <c r="IU236" s="2297"/>
      <c r="IV236" s="2297"/>
    </row>
    <row r="237" spans="3:256">
      <c r="C237" s="2298"/>
      <c r="D237" s="2298"/>
      <c r="E237" s="2298"/>
      <c r="F237" s="2298"/>
      <c r="G237" s="2298"/>
      <c r="H237" s="2298"/>
      <c r="AC237" s="2297"/>
      <c r="AD237" s="2297"/>
      <c r="AE237" s="2297"/>
      <c r="AF237" s="2297"/>
      <c r="AG237" s="2297"/>
      <c r="AH237" s="2297"/>
      <c r="AI237" s="2297"/>
      <c r="AJ237" s="2297"/>
      <c r="AK237" s="2297"/>
      <c r="AL237" s="2297"/>
      <c r="AM237" s="2297"/>
      <c r="AN237" s="2297"/>
      <c r="AO237" s="2297"/>
      <c r="AP237" s="2297"/>
      <c r="AQ237" s="2297"/>
      <c r="AR237" s="2297"/>
      <c r="AS237" s="2297"/>
      <c r="AT237" s="2297"/>
      <c r="AU237" s="2297"/>
      <c r="AV237" s="2297"/>
      <c r="AW237" s="2297"/>
      <c r="AX237" s="2297"/>
      <c r="AY237" s="2297"/>
      <c r="AZ237" s="2297"/>
      <c r="BA237" s="2297"/>
      <c r="BB237" s="2297"/>
      <c r="BC237" s="2297"/>
      <c r="BD237" s="2297"/>
      <c r="BE237" s="2297"/>
      <c r="BF237" s="2297"/>
      <c r="BG237" s="2297"/>
      <c r="BH237" s="2297"/>
      <c r="BI237" s="2297"/>
      <c r="BJ237" s="2297"/>
      <c r="BK237" s="2297"/>
      <c r="BL237" s="2297"/>
      <c r="BM237" s="2297"/>
      <c r="BN237" s="2297"/>
      <c r="BO237" s="2297"/>
      <c r="BP237" s="2297"/>
      <c r="BQ237" s="2297"/>
      <c r="BR237" s="2297"/>
      <c r="BS237" s="2297"/>
      <c r="BT237" s="2297"/>
      <c r="BU237" s="2297"/>
      <c r="BV237" s="2297"/>
      <c r="BW237" s="2297"/>
      <c r="BX237" s="2297"/>
      <c r="BY237" s="2297"/>
      <c r="BZ237" s="2297"/>
      <c r="CA237" s="2297"/>
      <c r="CB237" s="2297"/>
      <c r="CC237" s="2297"/>
      <c r="CD237" s="2297"/>
      <c r="CE237" s="2297"/>
      <c r="CF237" s="2297"/>
      <c r="CG237" s="2297"/>
      <c r="CH237" s="2297"/>
      <c r="CI237" s="2297"/>
      <c r="CJ237" s="2297"/>
      <c r="CK237" s="2297"/>
      <c r="CL237" s="2297"/>
      <c r="CM237" s="2297"/>
      <c r="CN237" s="2297"/>
      <c r="CO237" s="2297"/>
      <c r="CP237" s="2297"/>
      <c r="CQ237" s="2297"/>
      <c r="CR237" s="2297"/>
      <c r="CS237" s="2297"/>
      <c r="CT237" s="2297"/>
      <c r="CU237" s="2297"/>
      <c r="CV237" s="2297"/>
      <c r="CW237" s="2297"/>
      <c r="CX237" s="2297"/>
      <c r="CY237" s="2297"/>
      <c r="CZ237" s="2297"/>
      <c r="DA237" s="2297"/>
      <c r="DB237" s="2297"/>
      <c r="DC237" s="2297"/>
      <c r="DD237" s="2297"/>
      <c r="DE237" s="2297"/>
      <c r="DF237" s="2297"/>
      <c r="DG237" s="2297"/>
      <c r="DH237" s="2297"/>
      <c r="DI237" s="2297"/>
      <c r="DJ237" s="2297"/>
      <c r="DK237" s="2297"/>
      <c r="DL237" s="2297"/>
      <c r="DM237" s="2297"/>
      <c r="DN237" s="2297"/>
      <c r="DO237" s="2297"/>
      <c r="DP237" s="2297"/>
      <c r="DQ237" s="2297"/>
      <c r="DR237" s="2297"/>
      <c r="DS237" s="2297"/>
      <c r="DT237" s="2297"/>
      <c r="DU237" s="2297"/>
      <c r="DV237" s="2297"/>
      <c r="DW237" s="2297"/>
      <c r="DX237" s="2297"/>
      <c r="DY237" s="2297"/>
      <c r="DZ237" s="2297"/>
      <c r="EA237" s="2297"/>
      <c r="EB237" s="2297"/>
      <c r="EC237" s="2297"/>
      <c r="ED237" s="2297"/>
      <c r="EE237" s="2297"/>
      <c r="EF237" s="2297"/>
      <c r="EG237" s="2297"/>
      <c r="EH237" s="2297"/>
      <c r="EI237" s="2297"/>
      <c r="EJ237" s="2297"/>
      <c r="EK237" s="2297"/>
      <c r="EL237" s="2297"/>
      <c r="EM237" s="2297"/>
      <c r="EN237" s="2297"/>
      <c r="EO237" s="2297"/>
      <c r="EP237" s="2297"/>
      <c r="EQ237" s="2297"/>
      <c r="ER237" s="2297"/>
      <c r="ES237" s="2297"/>
      <c r="ET237" s="2297"/>
      <c r="EU237" s="2297"/>
      <c r="EV237" s="2297"/>
      <c r="EW237" s="2297"/>
      <c r="EX237" s="2297"/>
      <c r="EY237" s="2297"/>
      <c r="EZ237" s="2297"/>
      <c r="FA237" s="2297"/>
      <c r="FB237" s="2297"/>
      <c r="FC237" s="2297"/>
      <c r="FD237" s="2297"/>
      <c r="FE237" s="2297"/>
      <c r="FF237" s="2297"/>
      <c r="FG237" s="2297"/>
      <c r="FH237" s="2297"/>
      <c r="FI237" s="2297"/>
      <c r="FJ237" s="2297"/>
      <c r="FK237" s="2297"/>
      <c r="FL237" s="2297"/>
      <c r="FM237" s="2297"/>
      <c r="FN237" s="2297"/>
      <c r="FO237" s="2297"/>
      <c r="FP237" s="2297"/>
      <c r="FQ237" s="2297"/>
      <c r="FR237" s="2297"/>
      <c r="FS237" s="2297"/>
      <c r="FT237" s="2297"/>
      <c r="FU237" s="2297"/>
      <c r="FV237" s="2297"/>
      <c r="FW237" s="2297"/>
      <c r="FX237" s="2297"/>
      <c r="FY237" s="2297"/>
      <c r="FZ237" s="2297"/>
      <c r="GA237" s="2297"/>
      <c r="GB237" s="2297"/>
      <c r="GC237" s="2297"/>
      <c r="GD237" s="2297"/>
      <c r="GE237" s="2297"/>
      <c r="GF237" s="2297"/>
      <c r="GG237" s="2297"/>
      <c r="GH237" s="2297"/>
      <c r="GI237" s="2297"/>
      <c r="GJ237" s="2297"/>
      <c r="GK237" s="2297"/>
      <c r="GL237" s="2297"/>
      <c r="GM237" s="2297"/>
      <c r="GN237" s="2297"/>
      <c r="GO237" s="2297"/>
      <c r="GP237" s="2297"/>
      <c r="GQ237" s="2297"/>
      <c r="GR237" s="2297"/>
      <c r="GS237" s="2297"/>
      <c r="GT237" s="2297"/>
      <c r="GU237" s="2297"/>
      <c r="GV237" s="2297"/>
      <c r="GW237" s="2297"/>
      <c r="GX237" s="2297"/>
      <c r="GY237" s="2297"/>
      <c r="GZ237" s="2297"/>
      <c r="HA237" s="2297"/>
      <c r="HB237" s="2297"/>
      <c r="HC237" s="2297"/>
      <c r="HD237" s="2297"/>
      <c r="HE237" s="2297"/>
      <c r="HF237" s="2297"/>
      <c r="HG237" s="2297"/>
      <c r="HH237" s="2297"/>
      <c r="HI237" s="2297"/>
      <c r="HJ237" s="2297"/>
      <c r="HK237" s="2297"/>
      <c r="HL237" s="2297"/>
      <c r="HM237" s="2297"/>
      <c r="HN237" s="2297"/>
      <c r="HO237" s="2297"/>
      <c r="HP237" s="2297"/>
      <c r="HQ237" s="2297"/>
      <c r="HR237" s="2297"/>
      <c r="HS237" s="2297"/>
      <c r="HT237" s="2297"/>
      <c r="HU237" s="2297"/>
      <c r="HV237" s="2297"/>
      <c r="HW237" s="2297"/>
      <c r="HX237" s="2297"/>
      <c r="HY237" s="2297"/>
      <c r="HZ237" s="2297"/>
      <c r="IA237" s="2297"/>
      <c r="IB237" s="2297"/>
      <c r="IC237" s="2297"/>
      <c r="ID237" s="2297"/>
      <c r="IE237" s="2297"/>
      <c r="IF237" s="2297"/>
      <c r="IG237" s="2297"/>
      <c r="IH237" s="2297"/>
      <c r="II237" s="2297"/>
      <c r="IJ237" s="2297"/>
      <c r="IK237" s="2297"/>
      <c r="IL237" s="2297"/>
      <c r="IM237" s="2297"/>
      <c r="IN237" s="2297"/>
      <c r="IO237" s="2297"/>
      <c r="IP237" s="2297"/>
      <c r="IQ237" s="2297"/>
      <c r="IR237" s="2297"/>
      <c r="IS237" s="2297"/>
      <c r="IT237" s="2297"/>
      <c r="IU237" s="2297"/>
      <c r="IV237" s="2297"/>
    </row>
    <row r="238" spans="3:256">
      <c r="C238" s="2298"/>
      <c r="D238" s="2298"/>
      <c r="E238" s="2298"/>
      <c r="F238" s="2298"/>
      <c r="G238" s="2298"/>
      <c r="H238" s="2298"/>
      <c r="AC238" s="2297"/>
      <c r="AD238" s="2297"/>
      <c r="AE238" s="2297"/>
      <c r="AF238" s="2297"/>
      <c r="AG238" s="2297"/>
      <c r="AH238" s="2297"/>
      <c r="AI238" s="2297"/>
      <c r="AJ238" s="2297"/>
      <c r="AK238" s="2297"/>
      <c r="AL238" s="2297"/>
      <c r="AM238" s="2297"/>
      <c r="AN238" s="2297"/>
      <c r="AO238" s="2297"/>
      <c r="AP238" s="2297"/>
      <c r="AQ238" s="2297"/>
      <c r="AR238" s="2297"/>
      <c r="AS238" s="2297"/>
      <c r="AT238" s="2297"/>
      <c r="AU238" s="2297"/>
      <c r="AV238" s="2297"/>
      <c r="AW238" s="2297"/>
      <c r="AX238" s="2297"/>
      <c r="AY238" s="2297"/>
      <c r="AZ238" s="2297"/>
      <c r="BA238" s="2297"/>
      <c r="BB238" s="2297"/>
      <c r="BC238" s="2297"/>
      <c r="BD238" s="2297"/>
      <c r="BE238" s="2297"/>
      <c r="BF238" s="2297"/>
      <c r="BG238" s="2297"/>
      <c r="BH238" s="2297"/>
      <c r="BI238" s="2297"/>
      <c r="BJ238" s="2297"/>
      <c r="BK238" s="2297"/>
      <c r="BL238" s="2297"/>
      <c r="BM238" s="2297"/>
      <c r="BN238" s="2297"/>
      <c r="BO238" s="2297"/>
      <c r="BP238" s="2297"/>
      <c r="BQ238" s="2297"/>
      <c r="BR238" s="2297"/>
      <c r="BS238" s="2297"/>
      <c r="BT238" s="2297"/>
      <c r="BU238" s="2297"/>
      <c r="BV238" s="2297"/>
      <c r="BW238" s="2297"/>
      <c r="BX238" s="2297"/>
      <c r="BY238" s="2297"/>
      <c r="BZ238" s="2297"/>
      <c r="CA238" s="2297"/>
      <c r="CB238" s="2297"/>
      <c r="CC238" s="2297"/>
      <c r="CD238" s="2297"/>
      <c r="CE238" s="2297"/>
      <c r="CF238" s="2297"/>
      <c r="CG238" s="2297"/>
      <c r="CH238" s="2297"/>
      <c r="CI238" s="2297"/>
      <c r="CJ238" s="2297"/>
      <c r="CK238" s="2297"/>
      <c r="CL238" s="2297"/>
      <c r="CM238" s="2297"/>
      <c r="CN238" s="2297"/>
      <c r="CO238" s="2297"/>
      <c r="CP238" s="2297"/>
      <c r="CQ238" s="2297"/>
      <c r="CR238" s="2297"/>
      <c r="CS238" s="2297"/>
      <c r="CT238" s="2297"/>
      <c r="CU238" s="2297"/>
      <c r="CV238" s="2297"/>
      <c r="CW238" s="2297"/>
      <c r="CX238" s="2297"/>
      <c r="CY238" s="2297"/>
      <c r="CZ238" s="2297"/>
      <c r="DA238" s="2297"/>
      <c r="DB238" s="2297"/>
      <c r="DC238" s="2297"/>
      <c r="DD238" s="2297"/>
      <c r="DE238" s="2297"/>
      <c r="DF238" s="2297"/>
      <c r="DG238" s="2297"/>
      <c r="DH238" s="2297"/>
      <c r="DI238" s="2297"/>
      <c r="DJ238" s="2297"/>
      <c r="DK238" s="2297"/>
      <c r="DL238" s="2297"/>
      <c r="DM238" s="2297"/>
      <c r="DN238" s="2297"/>
      <c r="DO238" s="2297"/>
      <c r="DP238" s="2297"/>
      <c r="DQ238" s="2297"/>
      <c r="DR238" s="2297"/>
      <c r="DS238" s="2297"/>
      <c r="DT238" s="2297"/>
      <c r="DU238" s="2297"/>
      <c r="DV238" s="2297"/>
      <c r="DW238" s="2297"/>
      <c r="DX238" s="2297"/>
      <c r="DY238" s="2297"/>
      <c r="DZ238" s="2297"/>
      <c r="EA238" s="2297"/>
      <c r="EB238" s="2297"/>
      <c r="EC238" s="2297"/>
      <c r="ED238" s="2297"/>
      <c r="EE238" s="2297"/>
      <c r="EF238" s="2297"/>
      <c r="EG238" s="2297"/>
      <c r="EH238" s="2297"/>
      <c r="EI238" s="2297"/>
      <c r="EJ238" s="2297"/>
      <c r="EK238" s="2297"/>
      <c r="EL238" s="2297"/>
      <c r="EM238" s="2297"/>
      <c r="EN238" s="2297"/>
      <c r="EO238" s="2297"/>
      <c r="EP238" s="2297"/>
      <c r="EQ238" s="2297"/>
      <c r="ER238" s="2297"/>
      <c r="ES238" s="2297"/>
      <c r="ET238" s="2297"/>
      <c r="EU238" s="2297"/>
      <c r="EV238" s="2297"/>
      <c r="EW238" s="2297"/>
      <c r="EX238" s="2297"/>
      <c r="EY238" s="2297"/>
      <c r="EZ238" s="2297"/>
      <c r="FA238" s="2297"/>
      <c r="FB238" s="2297"/>
      <c r="FC238" s="2297"/>
      <c r="FD238" s="2297"/>
      <c r="FE238" s="2297"/>
      <c r="FF238" s="2297"/>
      <c r="FG238" s="2297"/>
      <c r="FH238" s="2297"/>
      <c r="FI238" s="2297"/>
      <c r="FJ238" s="2297"/>
      <c r="FK238" s="2297"/>
      <c r="FL238" s="2297"/>
      <c r="FM238" s="2297"/>
      <c r="FN238" s="2297"/>
      <c r="FO238" s="2297"/>
      <c r="FP238" s="2297"/>
      <c r="FQ238" s="2297"/>
      <c r="FR238" s="2297"/>
      <c r="FS238" s="2297"/>
      <c r="FT238" s="2297"/>
      <c r="FU238" s="2297"/>
      <c r="FV238" s="2297"/>
      <c r="FW238" s="2297"/>
      <c r="FX238" s="2297"/>
      <c r="FY238" s="2297"/>
      <c r="FZ238" s="2297"/>
      <c r="GA238" s="2297"/>
      <c r="GB238" s="2297"/>
      <c r="GC238" s="2297"/>
      <c r="GD238" s="2297"/>
      <c r="GE238" s="2297"/>
      <c r="GF238" s="2297"/>
      <c r="GG238" s="2297"/>
      <c r="GH238" s="2297"/>
      <c r="GI238" s="2297"/>
      <c r="GJ238" s="2297"/>
      <c r="GK238" s="2297"/>
      <c r="GL238" s="2297"/>
      <c r="GM238" s="2297"/>
      <c r="GN238" s="2297"/>
      <c r="GO238" s="2297"/>
      <c r="GP238" s="2297"/>
      <c r="GQ238" s="2297"/>
      <c r="GR238" s="2297"/>
      <c r="GS238" s="2297"/>
      <c r="GT238" s="2297"/>
      <c r="GU238" s="2297"/>
      <c r="GV238" s="2297"/>
      <c r="GW238" s="2297"/>
      <c r="GX238" s="2297"/>
      <c r="GY238" s="2297"/>
      <c r="GZ238" s="2297"/>
      <c r="HA238" s="2297"/>
      <c r="HB238" s="2297"/>
      <c r="HC238" s="2297"/>
      <c r="HD238" s="2297"/>
      <c r="HE238" s="2297"/>
      <c r="HF238" s="2297"/>
      <c r="HG238" s="2297"/>
      <c r="HH238" s="2297"/>
      <c r="HI238" s="2297"/>
      <c r="HJ238" s="2297"/>
      <c r="HK238" s="2297"/>
      <c r="HL238" s="2297"/>
      <c r="HM238" s="2297"/>
      <c r="HN238" s="2297"/>
      <c r="HO238" s="2297"/>
      <c r="HP238" s="2297"/>
      <c r="HQ238" s="2297"/>
      <c r="HR238" s="2297"/>
      <c r="HS238" s="2297"/>
      <c r="HT238" s="2297"/>
      <c r="HU238" s="2297"/>
      <c r="HV238" s="2297"/>
      <c r="HW238" s="2297"/>
      <c r="HX238" s="2297"/>
      <c r="HY238" s="2297"/>
      <c r="HZ238" s="2297"/>
      <c r="IA238" s="2297"/>
      <c r="IB238" s="2297"/>
      <c r="IC238" s="2297"/>
      <c r="ID238" s="2297"/>
      <c r="IE238" s="2297"/>
      <c r="IF238" s="2297"/>
      <c r="IG238" s="2297"/>
      <c r="IH238" s="2297"/>
      <c r="II238" s="2297"/>
      <c r="IJ238" s="2297"/>
      <c r="IK238" s="2297"/>
      <c r="IL238" s="2297"/>
      <c r="IM238" s="2297"/>
      <c r="IN238" s="2297"/>
      <c r="IO238" s="2297"/>
      <c r="IP238" s="2297"/>
      <c r="IQ238" s="2297"/>
      <c r="IR238" s="2297"/>
      <c r="IS238" s="2297"/>
      <c r="IT238" s="2297"/>
      <c r="IU238" s="2297"/>
      <c r="IV238" s="2297"/>
    </row>
    <row r="239" spans="3:256">
      <c r="C239" s="2298"/>
      <c r="D239" s="2298"/>
      <c r="E239" s="2298"/>
      <c r="F239" s="2298"/>
      <c r="G239" s="2298"/>
      <c r="H239" s="2298"/>
      <c r="AC239" s="2297"/>
      <c r="AD239" s="2297"/>
      <c r="AE239" s="2297"/>
      <c r="AF239" s="2297"/>
      <c r="AG239" s="2297"/>
      <c r="AH239" s="2297"/>
      <c r="AI239" s="2297"/>
      <c r="AJ239" s="2297"/>
      <c r="AK239" s="2297"/>
      <c r="AL239" s="2297"/>
      <c r="AM239" s="2297"/>
      <c r="AN239" s="2297"/>
      <c r="AO239" s="2297"/>
      <c r="AP239" s="2297"/>
      <c r="AQ239" s="2297"/>
      <c r="AR239" s="2297"/>
      <c r="AS239" s="2297"/>
      <c r="AT239" s="2297"/>
      <c r="AU239" s="2297"/>
      <c r="AV239" s="2297"/>
      <c r="AW239" s="2297"/>
      <c r="AX239" s="2297"/>
      <c r="AY239" s="2297"/>
      <c r="AZ239" s="2297"/>
      <c r="BA239" s="2297"/>
      <c r="BB239" s="2297"/>
      <c r="BC239" s="2297"/>
      <c r="BD239" s="2297"/>
      <c r="BE239" s="2297"/>
      <c r="BF239" s="2297"/>
      <c r="BG239" s="2297"/>
      <c r="BH239" s="2297"/>
      <c r="BI239" s="2297"/>
      <c r="BJ239" s="2297"/>
      <c r="BK239" s="2297"/>
      <c r="BL239" s="2297"/>
      <c r="BM239" s="2297"/>
      <c r="BN239" s="2297"/>
      <c r="BO239" s="2297"/>
      <c r="BP239" s="2297"/>
      <c r="BQ239" s="2297"/>
      <c r="BR239" s="2297"/>
      <c r="BS239" s="2297"/>
      <c r="BT239" s="2297"/>
      <c r="BU239" s="2297"/>
      <c r="BV239" s="2297"/>
      <c r="BW239" s="2297"/>
      <c r="BX239" s="2297"/>
      <c r="BY239" s="2297"/>
      <c r="BZ239" s="2297"/>
      <c r="CA239" s="2297"/>
      <c r="CB239" s="2297"/>
      <c r="CC239" s="2297"/>
      <c r="CD239" s="2297"/>
      <c r="CE239" s="2297"/>
      <c r="CF239" s="2297"/>
      <c r="CG239" s="2297"/>
      <c r="CH239" s="2297"/>
      <c r="CI239" s="2297"/>
      <c r="CJ239" s="2297"/>
      <c r="CK239" s="2297"/>
      <c r="CL239" s="2297"/>
      <c r="CM239" s="2297"/>
      <c r="CN239" s="2297"/>
      <c r="CO239" s="2297"/>
      <c r="CP239" s="2297"/>
      <c r="CQ239" s="2297"/>
      <c r="CR239" s="2297"/>
      <c r="CS239" s="2297"/>
      <c r="CT239" s="2297"/>
      <c r="CU239" s="2297"/>
      <c r="CV239" s="2297"/>
      <c r="CW239" s="2297"/>
      <c r="CX239" s="2297"/>
      <c r="CY239" s="2297"/>
      <c r="CZ239" s="2297"/>
      <c r="DA239" s="2297"/>
      <c r="DB239" s="2297"/>
      <c r="DC239" s="2297"/>
      <c r="DD239" s="2297"/>
      <c r="DE239" s="2297"/>
      <c r="DF239" s="2297"/>
      <c r="DG239" s="2297"/>
      <c r="DH239" s="2297"/>
      <c r="DI239" s="2297"/>
      <c r="DJ239" s="2297"/>
      <c r="DK239" s="2297"/>
      <c r="DL239" s="2297"/>
      <c r="DM239" s="2297"/>
      <c r="DN239" s="2297"/>
      <c r="DO239" s="2297"/>
      <c r="DP239" s="2297"/>
      <c r="DQ239" s="2297"/>
      <c r="DR239" s="2297"/>
      <c r="DS239" s="2297"/>
      <c r="DT239" s="2297"/>
      <c r="DU239" s="2297"/>
      <c r="DV239" s="2297"/>
      <c r="DW239" s="2297"/>
      <c r="DX239" s="2297"/>
      <c r="DY239" s="2297"/>
      <c r="DZ239" s="2297"/>
      <c r="EA239" s="2297"/>
      <c r="EB239" s="2297"/>
      <c r="EC239" s="2297"/>
      <c r="ED239" s="2297"/>
      <c r="EE239" s="2297"/>
      <c r="EF239" s="2297"/>
      <c r="EG239" s="2297"/>
      <c r="EH239" s="2297"/>
      <c r="EI239" s="2297"/>
      <c r="EJ239" s="2297"/>
      <c r="EK239" s="2297"/>
      <c r="EL239" s="2297"/>
      <c r="EM239" s="2297"/>
      <c r="EN239" s="2297"/>
      <c r="EO239" s="2297"/>
      <c r="EP239" s="2297"/>
      <c r="EQ239" s="2297"/>
      <c r="ER239" s="2297"/>
      <c r="ES239" s="2297"/>
      <c r="ET239" s="2297"/>
      <c r="EU239" s="2297"/>
      <c r="EV239" s="2297"/>
      <c r="EW239" s="2297"/>
      <c r="EX239" s="2297"/>
      <c r="EY239" s="2297"/>
      <c r="EZ239" s="2297"/>
      <c r="FA239" s="2297"/>
      <c r="FB239" s="2297"/>
      <c r="FC239" s="2297"/>
      <c r="FD239" s="2297"/>
      <c r="FE239" s="2297"/>
      <c r="FF239" s="2297"/>
      <c r="FG239" s="2297"/>
      <c r="FH239" s="2297"/>
      <c r="FI239" s="2297"/>
      <c r="FJ239" s="2297"/>
      <c r="FK239" s="2297"/>
      <c r="FL239" s="2297"/>
      <c r="FM239" s="2297"/>
      <c r="FN239" s="2297"/>
      <c r="FO239" s="2297"/>
      <c r="FP239" s="2297"/>
      <c r="FQ239" s="2297"/>
      <c r="FR239" s="2297"/>
      <c r="FS239" s="2297"/>
      <c r="FT239" s="2297"/>
      <c r="FU239" s="2297"/>
      <c r="FV239" s="2297"/>
      <c r="FW239" s="2297"/>
      <c r="FX239" s="2297"/>
      <c r="FY239" s="2297"/>
      <c r="FZ239" s="2297"/>
      <c r="GA239" s="2297"/>
      <c r="GB239" s="2297"/>
      <c r="GC239" s="2297"/>
      <c r="GD239" s="2297"/>
      <c r="GE239" s="2297"/>
      <c r="GF239" s="2297"/>
      <c r="GG239" s="2297"/>
      <c r="GH239" s="2297"/>
      <c r="GI239" s="2297"/>
      <c r="GJ239" s="2297"/>
      <c r="GK239" s="2297"/>
      <c r="GL239" s="2297"/>
      <c r="GM239" s="2297"/>
      <c r="GN239" s="2297"/>
      <c r="GO239" s="2297"/>
      <c r="GP239" s="2297"/>
      <c r="GQ239" s="2297"/>
      <c r="GR239" s="2297"/>
      <c r="GS239" s="2297"/>
      <c r="GT239" s="2297"/>
      <c r="GU239" s="2297"/>
      <c r="GV239" s="2297"/>
      <c r="GW239" s="2297"/>
      <c r="GX239" s="2297"/>
      <c r="GY239" s="2297"/>
      <c r="GZ239" s="2297"/>
      <c r="HA239" s="2297"/>
      <c r="HB239" s="2297"/>
      <c r="HC239" s="2297"/>
      <c r="HD239" s="2297"/>
      <c r="HE239" s="2297"/>
      <c r="HF239" s="2297"/>
      <c r="HG239" s="2297"/>
      <c r="HH239" s="2297"/>
      <c r="HI239" s="2297"/>
      <c r="HJ239" s="2297"/>
      <c r="HK239" s="2297"/>
      <c r="HL239" s="2297"/>
      <c r="HM239" s="2297"/>
      <c r="HN239" s="2297"/>
      <c r="HO239" s="2297"/>
      <c r="HP239" s="2297"/>
      <c r="HQ239" s="2297"/>
      <c r="HR239" s="2297"/>
      <c r="HS239" s="2297"/>
      <c r="HT239" s="2297"/>
      <c r="HU239" s="2297"/>
      <c r="HV239" s="2297"/>
      <c r="HW239" s="2297"/>
      <c r="HX239" s="2297"/>
      <c r="HY239" s="2297"/>
      <c r="HZ239" s="2297"/>
      <c r="IA239" s="2297"/>
      <c r="IB239" s="2297"/>
      <c r="IC239" s="2297"/>
      <c r="ID239" s="2297"/>
      <c r="IE239" s="2297"/>
      <c r="IF239" s="2297"/>
      <c r="IG239" s="2297"/>
      <c r="IH239" s="2297"/>
      <c r="II239" s="2297"/>
      <c r="IJ239" s="2297"/>
      <c r="IK239" s="2297"/>
      <c r="IL239" s="2297"/>
      <c r="IM239" s="2297"/>
      <c r="IN239" s="2297"/>
      <c r="IO239" s="2297"/>
      <c r="IP239" s="2297"/>
      <c r="IQ239" s="2297"/>
      <c r="IR239" s="2297"/>
      <c r="IS239" s="2297"/>
      <c r="IT239" s="2297"/>
      <c r="IU239" s="2297"/>
      <c r="IV239" s="2297"/>
    </row>
    <row r="240" spans="3:256">
      <c r="C240" s="2298"/>
      <c r="D240" s="2298"/>
      <c r="E240" s="2298"/>
      <c r="F240" s="2298"/>
      <c r="G240" s="2298"/>
      <c r="H240" s="2298"/>
      <c r="AC240" s="2297"/>
      <c r="AD240" s="2297"/>
      <c r="AE240" s="2297"/>
      <c r="AF240" s="2297"/>
      <c r="AG240" s="2297"/>
      <c r="AH240" s="2297"/>
      <c r="AI240" s="2297"/>
      <c r="AJ240" s="2297"/>
      <c r="AK240" s="2297"/>
      <c r="AL240" s="2297"/>
      <c r="AM240" s="2297"/>
      <c r="AN240" s="2297"/>
      <c r="AO240" s="2297"/>
      <c r="AP240" s="2297"/>
      <c r="AQ240" s="2297"/>
      <c r="AR240" s="2297"/>
      <c r="AS240" s="2297"/>
      <c r="AT240" s="2297"/>
      <c r="AU240" s="2297"/>
      <c r="AV240" s="2297"/>
      <c r="AW240" s="2297"/>
      <c r="AX240" s="2297"/>
      <c r="AY240" s="2297"/>
      <c r="AZ240" s="2297"/>
      <c r="BA240" s="2297"/>
      <c r="BB240" s="2297"/>
      <c r="BC240" s="2297"/>
      <c r="BD240" s="2297"/>
      <c r="BE240" s="2297"/>
      <c r="BF240" s="2297"/>
      <c r="BG240" s="2297"/>
      <c r="BH240" s="2297"/>
      <c r="BI240" s="2297"/>
      <c r="BJ240" s="2297"/>
      <c r="BK240" s="2297"/>
      <c r="BL240" s="2297"/>
      <c r="BM240" s="2297"/>
      <c r="BN240" s="2297"/>
      <c r="BO240" s="2297"/>
      <c r="BP240" s="2297"/>
      <c r="BQ240" s="2297"/>
      <c r="BR240" s="2297"/>
      <c r="BS240" s="2297"/>
      <c r="BT240" s="2297"/>
      <c r="BU240" s="2297"/>
      <c r="BV240" s="2297"/>
      <c r="BW240" s="2297"/>
      <c r="BX240" s="2297"/>
      <c r="BY240" s="2297"/>
      <c r="BZ240" s="2297"/>
      <c r="CA240" s="2297"/>
      <c r="CB240" s="2297"/>
      <c r="CC240" s="2297"/>
      <c r="CD240" s="2297"/>
      <c r="CE240" s="2297"/>
      <c r="CF240" s="2297"/>
      <c r="CG240" s="2297"/>
      <c r="CH240" s="2297"/>
      <c r="CI240" s="2297"/>
      <c r="CJ240" s="2297"/>
      <c r="CK240" s="2297"/>
      <c r="CL240" s="2297"/>
      <c r="CM240" s="2297"/>
      <c r="CN240" s="2297"/>
      <c r="CO240" s="2297"/>
      <c r="CP240" s="2297"/>
      <c r="CQ240" s="2297"/>
      <c r="CR240" s="2297"/>
      <c r="CS240" s="2297"/>
      <c r="CT240" s="2297"/>
      <c r="CU240" s="2297"/>
      <c r="CV240" s="2297"/>
      <c r="CW240" s="2297"/>
      <c r="CX240" s="2297"/>
      <c r="CY240" s="2297"/>
      <c r="CZ240" s="2297"/>
      <c r="DA240" s="2297"/>
      <c r="DB240" s="2297"/>
      <c r="DC240" s="2297"/>
      <c r="DD240" s="2297"/>
      <c r="DE240" s="2297"/>
      <c r="DF240" s="2297"/>
      <c r="DG240" s="2297"/>
      <c r="DH240" s="2297"/>
      <c r="DI240" s="2297"/>
      <c r="DJ240" s="2297"/>
      <c r="DK240" s="2297"/>
      <c r="DL240" s="2297"/>
      <c r="DM240" s="2297"/>
      <c r="DN240" s="2297"/>
      <c r="DO240" s="2297"/>
      <c r="DP240" s="2297"/>
      <c r="DQ240" s="2297"/>
      <c r="DR240" s="2297"/>
      <c r="DS240" s="2297"/>
      <c r="DT240" s="2297"/>
      <c r="DU240" s="2297"/>
      <c r="DV240" s="2297"/>
      <c r="DW240" s="2297"/>
      <c r="DX240" s="2297"/>
      <c r="DY240" s="2297"/>
      <c r="DZ240" s="2297"/>
      <c r="EA240" s="2297"/>
      <c r="EB240" s="2297"/>
      <c r="EC240" s="2297"/>
      <c r="ED240" s="2297"/>
      <c r="EE240" s="2297"/>
      <c r="EF240" s="2297"/>
      <c r="EG240" s="2297"/>
      <c r="EH240" s="2297"/>
      <c r="EI240" s="2297"/>
      <c r="EJ240" s="2297"/>
      <c r="EK240" s="2297"/>
      <c r="EL240" s="2297"/>
      <c r="EM240" s="2297"/>
      <c r="EN240" s="2297"/>
      <c r="EO240" s="2297"/>
      <c r="EP240" s="2297"/>
      <c r="EQ240" s="2297"/>
      <c r="ER240" s="2297"/>
      <c r="ES240" s="2297"/>
      <c r="ET240" s="2297"/>
      <c r="EU240" s="2297"/>
      <c r="EV240" s="2297"/>
      <c r="EW240" s="2297"/>
      <c r="EX240" s="2297"/>
      <c r="EY240" s="2297"/>
      <c r="EZ240" s="2297"/>
      <c r="FA240" s="2297"/>
      <c r="FB240" s="2297"/>
      <c r="FC240" s="2297"/>
      <c r="FD240" s="2297"/>
      <c r="FE240" s="2297"/>
      <c r="FF240" s="2297"/>
      <c r="FG240" s="2297"/>
      <c r="FH240" s="2297"/>
      <c r="FI240" s="2297"/>
      <c r="FJ240" s="2297"/>
      <c r="FK240" s="2297"/>
      <c r="FL240" s="2297"/>
      <c r="FM240" s="2297"/>
      <c r="FN240" s="2297"/>
      <c r="FO240" s="2297"/>
      <c r="FP240" s="2297"/>
      <c r="FQ240" s="2297"/>
      <c r="FR240" s="2297"/>
      <c r="FS240" s="2297"/>
      <c r="FT240" s="2297"/>
      <c r="FU240" s="2297"/>
      <c r="FV240" s="2297"/>
      <c r="FW240" s="2297"/>
      <c r="FX240" s="2297"/>
      <c r="FY240" s="2297"/>
      <c r="FZ240" s="2297"/>
      <c r="GA240" s="2297"/>
      <c r="GB240" s="2297"/>
      <c r="GC240" s="2297"/>
      <c r="GD240" s="2297"/>
      <c r="GE240" s="2297"/>
      <c r="GF240" s="2297"/>
      <c r="GG240" s="2297"/>
      <c r="GH240" s="2297"/>
      <c r="GI240" s="2297"/>
      <c r="GJ240" s="2297"/>
      <c r="GK240" s="2297"/>
      <c r="GL240" s="2297"/>
      <c r="GM240" s="2297"/>
      <c r="GN240" s="2297"/>
      <c r="GO240" s="2297"/>
      <c r="GP240" s="2297"/>
      <c r="GQ240" s="2297"/>
      <c r="GR240" s="2297"/>
      <c r="GS240" s="2297"/>
      <c r="GT240" s="2297"/>
      <c r="GU240" s="2297"/>
      <c r="GV240" s="2297"/>
      <c r="GW240" s="2297"/>
      <c r="GX240" s="2297"/>
      <c r="GY240" s="2297"/>
      <c r="GZ240" s="2297"/>
      <c r="HA240" s="2297"/>
      <c r="HB240" s="2297"/>
      <c r="HC240" s="2297"/>
      <c r="HD240" s="2297"/>
      <c r="HE240" s="2297"/>
      <c r="HF240" s="2297"/>
      <c r="HG240" s="2297"/>
      <c r="HH240" s="2297"/>
      <c r="HI240" s="2297"/>
      <c r="HJ240" s="2297"/>
      <c r="HK240" s="2297"/>
      <c r="HL240" s="2297"/>
      <c r="HM240" s="2297"/>
      <c r="HN240" s="2297"/>
      <c r="HO240" s="2297"/>
      <c r="HP240" s="2297"/>
      <c r="HQ240" s="2297"/>
      <c r="HR240" s="2297"/>
      <c r="HS240" s="2297"/>
      <c r="HT240" s="2297"/>
      <c r="HU240" s="2297"/>
      <c r="HV240" s="2297"/>
      <c r="HW240" s="2297"/>
      <c r="HX240" s="2297"/>
      <c r="HY240" s="2297"/>
      <c r="HZ240" s="2297"/>
      <c r="IA240" s="2297"/>
      <c r="IB240" s="2297"/>
      <c r="IC240" s="2297"/>
      <c r="ID240" s="2297"/>
      <c r="IE240" s="2297"/>
      <c r="IF240" s="2297"/>
      <c r="IG240" s="2297"/>
      <c r="IH240" s="2297"/>
      <c r="II240" s="2297"/>
      <c r="IJ240" s="2297"/>
      <c r="IK240" s="2297"/>
      <c r="IL240" s="2297"/>
      <c r="IM240" s="2297"/>
      <c r="IN240" s="2297"/>
      <c r="IO240" s="2297"/>
      <c r="IP240" s="2297"/>
      <c r="IQ240" s="2297"/>
      <c r="IR240" s="2297"/>
      <c r="IS240" s="2297"/>
      <c r="IT240" s="2297"/>
      <c r="IU240" s="2297"/>
      <c r="IV240" s="2297"/>
    </row>
    <row r="241" spans="3:256">
      <c r="C241" s="2298"/>
      <c r="D241" s="2298"/>
      <c r="E241" s="2298"/>
      <c r="F241" s="2298"/>
      <c r="G241" s="2298"/>
      <c r="H241" s="2298"/>
      <c r="AC241" s="2297"/>
      <c r="AD241" s="2297"/>
      <c r="AE241" s="2297"/>
      <c r="AF241" s="2297"/>
      <c r="AG241" s="2297"/>
      <c r="AH241" s="2297"/>
      <c r="AI241" s="2297"/>
      <c r="AJ241" s="2297"/>
      <c r="AK241" s="2297"/>
      <c r="AL241" s="2297"/>
      <c r="AM241" s="2297"/>
      <c r="AN241" s="2297"/>
      <c r="AO241" s="2297"/>
      <c r="AP241" s="2297"/>
      <c r="AQ241" s="2297"/>
      <c r="AR241" s="2297"/>
      <c r="AS241" s="2297"/>
      <c r="AT241" s="2297"/>
      <c r="AU241" s="2297"/>
      <c r="AV241" s="2297"/>
      <c r="AW241" s="2297"/>
      <c r="AX241" s="2297"/>
      <c r="AY241" s="2297"/>
      <c r="AZ241" s="2297"/>
      <c r="BA241" s="2297"/>
      <c r="BB241" s="2297"/>
      <c r="BC241" s="2297"/>
      <c r="BD241" s="2297"/>
      <c r="BE241" s="2297"/>
      <c r="BF241" s="2297"/>
      <c r="BG241" s="2297"/>
      <c r="BH241" s="2297"/>
      <c r="BI241" s="2297"/>
      <c r="BJ241" s="2297"/>
      <c r="BK241" s="2297"/>
      <c r="BL241" s="2297"/>
      <c r="BM241" s="2297"/>
      <c r="BN241" s="2297"/>
      <c r="BO241" s="2297"/>
      <c r="BP241" s="2297"/>
      <c r="BQ241" s="2297"/>
      <c r="BR241" s="2297"/>
      <c r="BS241" s="2297"/>
      <c r="BT241" s="2297"/>
      <c r="BU241" s="2297"/>
      <c r="BV241" s="2297"/>
      <c r="BW241" s="2297"/>
      <c r="BX241" s="2297"/>
      <c r="BY241" s="2297"/>
      <c r="BZ241" s="2297"/>
      <c r="CA241" s="2297"/>
      <c r="CB241" s="2297"/>
      <c r="CC241" s="2297"/>
      <c r="CD241" s="2297"/>
      <c r="CE241" s="2297"/>
      <c r="CF241" s="2297"/>
      <c r="CG241" s="2297"/>
      <c r="CH241" s="2297"/>
      <c r="CI241" s="2297"/>
      <c r="CJ241" s="2297"/>
      <c r="CK241" s="2297"/>
      <c r="CL241" s="2297"/>
      <c r="CM241" s="2297"/>
      <c r="CN241" s="2297"/>
      <c r="CO241" s="2297"/>
      <c r="CP241" s="2297"/>
      <c r="CQ241" s="2297"/>
      <c r="CR241" s="2297"/>
      <c r="CS241" s="2297"/>
      <c r="CT241" s="2297"/>
      <c r="CU241" s="2297"/>
      <c r="CV241" s="2297"/>
      <c r="CW241" s="2297"/>
      <c r="CX241" s="2297"/>
      <c r="CY241" s="2297"/>
      <c r="CZ241" s="2297"/>
      <c r="DA241" s="2297"/>
      <c r="DB241" s="2297"/>
      <c r="DC241" s="2297"/>
      <c r="DD241" s="2297"/>
      <c r="DE241" s="2297"/>
      <c r="DF241" s="2297"/>
      <c r="DG241" s="2297"/>
      <c r="DH241" s="2297"/>
      <c r="DI241" s="2297"/>
      <c r="DJ241" s="2297"/>
      <c r="DK241" s="2297"/>
      <c r="DL241" s="2297"/>
      <c r="DM241" s="2297"/>
      <c r="DN241" s="2297"/>
      <c r="DO241" s="2297"/>
      <c r="DP241" s="2297"/>
      <c r="DQ241" s="2297"/>
      <c r="DR241" s="2297"/>
      <c r="DS241" s="2297"/>
      <c r="DT241" s="2297"/>
      <c r="DU241" s="2297"/>
      <c r="DV241" s="2297"/>
      <c r="DW241" s="2297"/>
      <c r="DX241" s="2297"/>
      <c r="DY241" s="2297"/>
      <c r="DZ241" s="2297"/>
      <c r="EA241" s="2297"/>
      <c r="EB241" s="2297"/>
      <c r="EC241" s="2297"/>
      <c r="ED241" s="2297"/>
      <c r="EE241" s="2297"/>
      <c r="EF241" s="2297"/>
      <c r="EG241" s="2297"/>
      <c r="EH241" s="2297"/>
      <c r="EI241" s="2297"/>
      <c r="EJ241" s="2297"/>
      <c r="EK241" s="2297"/>
      <c r="EL241" s="2297"/>
      <c r="EM241" s="2297"/>
      <c r="EN241" s="2297"/>
      <c r="EO241" s="2297"/>
      <c r="EP241" s="2297"/>
      <c r="EQ241" s="2297"/>
      <c r="ER241" s="2297"/>
      <c r="ES241" s="2297"/>
      <c r="ET241" s="2297"/>
      <c r="EU241" s="2297"/>
      <c r="EV241" s="2297"/>
      <c r="EW241" s="2297"/>
      <c r="EX241" s="2297"/>
      <c r="EY241" s="2297"/>
      <c r="EZ241" s="2297"/>
      <c r="FA241" s="2297"/>
      <c r="FB241" s="2297"/>
      <c r="FC241" s="2297"/>
      <c r="FD241" s="2297"/>
      <c r="FE241" s="2297"/>
      <c r="FF241" s="2297"/>
      <c r="FG241" s="2297"/>
      <c r="FH241" s="2297"/>
      <c r="FI241" s="2297"/>
      <c r="FJ241" s="2297"/>
      <c r="FK241" s="2297"/>
      <c r="FL241" s="2297"/>
      <c r="FM241" s="2297"/>
      <c r="FN241" s="2297"/>
      <c r="FO241" s="2297"/>
      <c r="FP241" s="2297"/>
      <c r="FQ241" s="2297"/>
      <c r="FR241" s="2297"/>
      <c r="FS241" s="2297"/>
      <c r="FT241" s="2297"/>
      <c r="FU241" s="2297"/>
      <c r="FV241" s="2297"/>
      <c r="FW241" s="2297"/>
      <c r="FX241" s="2297"/>
      <c r="FY241" s="2297"/>
      <c r="FZ241" s="2297"/>
      <c r="GA241" s="2297"/>
      <c r="GB241" s="2297"/>
      <c r="GC241" s="2297"/>
      <c r="GD241" s="2297"/>
      <c r="GE241" s="2297"/>
      <c r="GF241" s="2297"/>
      <c r="GG241" s="2297"/>
      <c r="GH241" s="2297"/>
      <c r="GI241" s="2297"/>
      <c r="GJ241" s="2297"/>
      <c r="GK241" s="2297"/>
      <c r="GL241" s="2297"/>
      <c r="GM241" s="2297"/>
      <c r="GN241" s="2297"/>
      <c r="GO241" s="2297"/>
      <c r="GP241" s="2297"/>
      <c r="GQ241" s="2297"/>
      <c r="GR241" s="2297"/>
      <c r="GS241" s="2297"/>
      <c r="GT241" s="2297"/>
      <c r="GU241" s="2297"/>
      <c r="GV241" s="2297"/>
      <c r="GW241" s="2297"/>
      <c r="GX241" s="2297"/>
      <c r="GY241" s="2297"/>
      <c r="GZ241" s="2297"/>
      <c r="HA241" s="2297"/>
      <c r="HB241" s="2297"/>
      <c r="HC241" s="2297"/>
      <c r="HD241" s="2297"/>
      <c r="HE241" s="2297"/>
      <c r="HF241" s="2297"/>
      <c r="HG241" s="2297"/>
      <c r="HH241" s="2297"/>
      <c r="HI241" s="2297"/>
      <c r="HJ241" s="2297"/>
      <c r="HK241" s="2297"/>
      <c r="HL241" s="2297"/>
      <c r="HM241" s="2297"/>
      <c r="HN241" s="2297"/>
      <c r="HO241" s="2297"/>
      <c r="HP241" s="2297"/>
      <c r="HQ241" s="2297"/>
      <c r="HR241" s="2297"/>
      <c r="HS241" s="2297"/>
      <c r="HT241" s="2297"/>
      <c r="HU241" s="2297"/>
      <c r="HV241" s="2297"/>
      <c r="HW241" s="2297"/>
      <c r="HX241" s="2297"/>
      <c r="HY241" s="2297"/>
      <c r="HZ241" s="2297"/>
      <c r="IA241" s="2297"/>
      <c r="IB241" s="2297"/>
      <c r="IC241" s="2297"/>
      <c r="ID241" s="2297"/>
      <c r="IE241" s="2297"/>
      <c r="IF241" s="2297"/>
      <c r="IG241" s="2297"/>
      <c r="IH241" s="2297"/>
      <c r="II241" s="2297"/>
      <c r="IJ241" s="2297"/>
      <c r="IK241" s="2297"/>
      <c r="IL241" s="2297"/>
      <c r="IM241" s="2297"/>
      <c r="IN241" s="2297"/>
      <c r="IO241" s="2297"/>
      <c r="IP241" s="2297"/>
      <c r="IQ241" s="2297"/>
      <c r="IR241" s="2297"/>
      <c r="IS241" s="2297"/>
      <c r="IT241" s="2297"/>
      <c r="IU241" s="2297"/>
      <c r="IV241" s="2297"/>
    </row>
    <row r="242" spans="3:256">
      <c r="C242" s="2298"/>
      <c r="D242" s="2298"/>
      <c r="E242" s="2298"/>
      <c r="F242" s="2298"/>
      <c r="G242" s="2298"/>
      <c r="H242" s="2298"/>
      <c r="AC242" s="2297"/>
      <c r="AD242" s="2297"/>
      <c r="AE242" s="2297"/>
      <c r="AF242" s="2297"/>
      <c r="AG242" s="2297"/>
      <c r="AH242" s="2297"/>
      <c r="AI242" s="2297"/>
      <c r="AJ242" s="2297"/>
      <c r="AK242" s="2297"/>
      <c r="AL242" s="2297"/>
      <c r="AM242" s="2297"/>
      <c r="AN242" s="2297"/>
      <c r="AO242" s="2297"/>
      <c r="AP242" s="2297"/>
      <c r="AQ242" s="2297"/>
      <c r="AR242" s="2297"/>
      <c r="AS242" s="2297"/>
      <c r="AT242" s="2297"/>
      <c r="AU242" s="2297"/>
      <c r="AV242" s="2297"/>
      <c r="AW242" s="2297"/>
      <c r="AX242" s="2297"/>
      <c r="AY242" s="2297"/>
      <c r="AZ242" s="2297"/>
      <c r="BA242" s="2297"/>
      <c r="BB242" s="2297"/>
      <c r="BC242" s="2297"/>
      <c r="BD242" s="2297"/>
      <c r="BE242" s="2297"/>
      <c r="BF242" s="2297"/>
      <c r="BG242" s="2297"/>
      <c r="BH242" s="2297"/>
      <c r="BI242" s="2297"/>
      <c r="BJ242" s="2297"/>
      <c r="BK242" s="2297"/>
      <c r="BL242" s="2297"/>
      <c r="BM242" s="2297"/>
      <c r="BN242" s="2297"/>
      <c r="BO242" s="2297"/>
      <c r="BP242" s="2297"/>
      <c r="BQ242" s="2297"/>
      <c r="BR242" s="2297"/>
      <c r="BS242" s="2297"/>
      <c r="BT242" s="2297"/>
      <c r="BU242" s="2297"/>
      <c r="BV242" s="2297"/>
      <c r="BW242" s="2297"/>
      <c r="BX242" s="2297"/>
      <c r="BY242" s="2297"/>
      <c r="BZ242" s="2297"/>
      <c r="CA242" s="2297"/>
      <c r="CB242" s="2297"/>
      <c r="CC242" s="2297"/>
      <c r="CD242" s="2297"/>
      <c r="CE242" s="2297"/>
      <c r="CF242" s="2297"/>
      <c r="CG242" s="2297"/>
      <c r="CH242" s="2297"/>
      <c r="CI242" s="2297"/>
      <c r="CJ242" s="2297"/>
      <c r="CK242" s="2297"/>
      <c r="CL242" s="2297"/>
      <c r="CM242" s="2297"/>
      <c r="CN242" s="2297"/>
      <c r="CO242" s="2297"/>
      <c r="CP242" s="2297"/>
      <c r="CQ242" s="2297"/>
      <c r="CR242" s="2297"/>
      <c r="CS242" s="2297"/>
      <c r="CT242" s="2297"/>
      <c r="CU242" s="2297"/>
      <c r="CV242" s="2297"/>
      <c r="CW242" s="2297"/>
      <c r="CX242" s="2297"/>
      <c r="CY242" s="2297"/>
      <c r="CZ242" s="2297"/>
      <c r="DA242" s="2297"/>
      <c r="DB242" s="2297"/>
      <c r="DC242" s="2297"/>
      <c r="DD242" s="2297"/>
      <c r="DE242" s="2297"/>
      <c r="DF242" s="2297"/>
      <c r="DG242" s="2297"/>
      <c r="DH242" s="2297"/>
      <c r="DI242" s="2297"/>
      <c r="DJ242" s="2297"/>
      <c r="DK242" s="2297"/>
      <c r="DL242" s="2297"/>
      <c r="DM242" s="2297"/>
      <c r="DN242" s="2297"/>
      <c r="DO242" s="2297"/>
      <c r="DP242" s="2297"/>
      <c r="DQ242" s="2297"/>
      <c r="DR242" s="2297"/>
      <c r="DS242" s="2297"/>
      <c r="DT242" s="2297"/>
      <c r="DU242" s="2297"/>
      <c r="DV242" s="2297"/>
      <c r="DW242" s="2297"/>
      <c r="DX242" s="2297"/>
      <c r="DY242" s="2297"/>
      <c r="DZ242" s="2297"/>
      <c r="EA242" s="2297"/>
      <c r="EB242" s="2297"/>
      <c r="EC242" s="2297"/>
      <c r="ED242" s="2297"/>
      <c r="EE242" s="2297"/>
      <c r="EF242" s="2297"/>
      <c r="EG242" s="2297"/>
      <c r="EH242" s="2297"/>
      <c r="EI242" s="2297"/>
      <c r="EJ242" s="2297"/>
      <c r="EK242" s="2297"/>
      <c r="EL242" s="2297"/>
      <c r="EM242" s="2297"/>
      <c r="EN242" s="2297"/>
      <c r="EO242" s="2297"/>
      <c r="EP242" s="2297"/>
      <c r="EQ242" s="2297"/>
      <c r="ER242" s="2297"/>
      <c r="ES242" s="2297"/>
      <c r="ET242" s="2297"/>
      <c r="EU242" s="2297"/>
      <c r="EV242" s="2297"/>
      <c r="EW242" s="2297"/>
      <c r="EX242" s="2297"/>
      <c r="EY242" s="2297"/>
      <c r="EZ242" s="2297"/>
      <c r="FA242" s="2297"/>
      <c r="FB242" s="2297"/>
      <c r="FC242" s="2297"/>
      <c r="FD242" s="2297"/>
      <c r="FE242" s="2297"/>
      <c r="FF242" s="2297"/>
      <c r="FG242" s="2297"/>
      <c r="FH242" s="2297"/>
      <c r="FI242" s="2297"/>
      <c r="FJ242" s="2297"/>
      <c r="FK242" s="2297"/>
      <c r="FL242" s="2297"/>
      <c r="FM242" s="2297"/>
      <c r="FN242" s="2297"/>
      <c r="FO242" s="2297"/>
      <c r="FP242" s="2297"/>
      <c r="FQ242" s="2297"/>
      <c r="FR242" s="2297"/>
      <c r="FS242" s="2297"/>
      <c r="FT242" s="2297"/>
      <c r="FU242" s="2297"/>
      <c r="FV242" s="2297"/>
      <c r="FW242" s="2297"/>
      <c r="FX242" s="2297"/>
      <c r="FY242" s="2297"/>
      <c r="FZ242" s="2297"/>
      <c r="GA242" s="2297"/>
      <c r="GB242" s="2297"/>
      <c r="GC242" s="2297"/>
      <c r="GD242" s="2297"/>
      <c r="GE242" s="2297"/>
      <c r="GF242" s="2297"/>
      <c r="GG242" s="2297"/>
      <c r="GH242" s="2297"/>
      <c r="GI242" s="2297"/>
      <c r="GJ242" s="2297"/>
      <c r="GK242" s="2297"/>
      <c r="GL242" s="2297"/>
      <c r="GM242" s="2297"/>
      <c r="GN242" s="2297"/>
      <c r="GO242" s="2297"/>
      <c r="GP242" s="2297"/>
      <c r="GQ242" s="2297"/>
      <c r="GR242" s="2297"/>
      <c r="GS242" s="2297"/>
      <c r="GT242" s="2297"/>
      <c r="GU242" s="2297"/>
      <c r="GV242" s="2297"/>
      <c r="GW242" s="2297"/>
      <c r="GX242" s="2297"/>
      <c r="GY242" s="2297"/>
      <c r="GZ242" s="2297"/>
      <c r="HA242" s="2297"/>
      <c r="HB242" s="2297"/>
      <c r="HC242" s="2297"/>
      <c r="HD242" s="2297"/>
      <c r="HE242" s="2297"/>
      <c r="HF242" s="2297"/>
      <c r="HG242" s="2297"/>
      <c r="HH242" s="2297"/>
      <c r="HI242" s="2297"/>
      <c r="HJ242" s="2297"/>
      <c r="HK242" s="2297"/>
      <c r="HL242" s="2297"/>
      <c r="HM242" s="2297"/>
      <c r="HN242" s="2297"/>
      <c r="HO242" s="2297"/>
      <c r="HP242" s="2297"/>
      <c r="HQ242" s="2297"/>
      <c r="HR242" s="2297"/>
      <c r="HS242" s="2297"/>
      <c r="HT242" s="2297"/>
      <c r="HU242" s="2297"/>
      <c r="HV242" s="2297"/>
      <c r="HW242" s="2297"/>
      <c r="HX242" s="2297"/>
      <c r="HY242" s="2297"/>
      <c r="HZ242" s="2297"/>
      <c r="IA242" s="2297"/>
      <c r="IB242" s="2297"/>
      <c r="IC242" s="2297"/>
      <c r="ID242" s="2297"/>
      <c r="IE242" s="2297"/>
      <c r="IF242" s="2297"/>
      <c r="IG242" s="2297"/>
      <c r="IH242" s="2297"/>
      <c r="II242" s="2297"/>
      <c r="IJ242" s="2297"/>
      <c r="IK242" s="2297"/>
      <c r="IL242" s="2297"/>
      <c r="IM242" s="2297"/>
      <c r="IN242" s="2297"/>
      <c r="IO242" s="2297"/>
      <c r="IP242" s="2297"/>
      <c r="IQ242" s="2297"/>
      <c r="IR242" s="2297"/>
      <c r="IS242" s="2297"/>
      <c r="IT242" s="2297"/>
      <c r="IU242" s="2297"/>
      <c r="IV242" s="2297"/>
    </row>
    <row r="243" spans="3:256">
      <c r="C243" s="2298"/>
      <c r="D243" s="2298"/>
      <c r="E243" s="2298"/>
      <c r="F243" s="2298"/>
      <c r="G243" s="2298"/>
      <c r="H243" s="2298"/>
      <c r="AC243" s="2297"/>
      <c r="AD243" s="2297"/>
      <c r="AE243" s="2297"/>
      <c r="AF243" s="2297"/>
      <c r="AG243" s="2297"/>
      <c r="AH243" s="2297"/>
      <c r="AI243" s="2297"/>
      <c r="AJ243" s="2297"/>
      <c r="AK243" s="2297"/>
      <c r="AL243" s="2297"/>
      <c r="AM243" s="2297"/>
      <c r="AN243" s="2297"/>
      <c r="AO243" s="2297"/>
      <c r="AP243" s="2297"/>
      <c r="AQ243" s="2297"/>
      <c r="AR243" s="2297"/>
      <c r="AS243" s="2297"/>
      <c r="AT243" s="2297"/>
      <c r="AU243" s="2297"/>
      <c r="AV243" s="2297"/>
      <c r="AW243" s="2297"/>
      <c r="AX243" s="2297"/>
      <c r="AY243" s="2297"/>
      <c r="AZ243" s="2297"/>
      <c r="BA243" s="2297"/>
      <c r="BB243" s="2297"/>
      <c r="BC243" s="2297"/>
      <c r="BD243" s="2297"/>
      <c r="BE243" s="2297"/>
      <c r="BF243" s="2297"/>
      <c r="BG243" s="2297"/>
      <c r="BH243" s="2297"/>
      <c r="BI243" s="2297"/>
      <c r="BJ243" s="2297"/>
      <c r="BK243" s="2297"/>
      <c r="BL243" s="2297"/>
      <c r="BM243" s="2297"/>
      <c r="BN243" s="2297"/>
      <c r="BO243" s="2297"/>
      <c r="BP243" s="2297"/>
      <c r="BQ243" s="2297"/>
      <c r="BR243" s="2297"/>
      <c r="BS243" s="2297"/>
      <c r="BT243" s="2297"/>
      <c r="BU243" s="2297"/>
      <c r="BV243" s="2297"/>
      <c r="BW243" s="2297"/>
      <c r="BX243" s="2297"/>
      <c r="BY243" s="2297"/>
      <c r="BZ243" s="2297"/>
      <c r="CA243" s="2297"/>
      <c r="CB243" s="2297"/>
      <c r="CC243" s="2297"/>
      <c r="CD243" s="2297"/>
      <c r="CE243" s="2297"/>
      <c r="CF243" s="2297"/>
      <c r="CG243" s="2297"/>
      <c r="CH243" s="2297"/>
      <c r="CI243" s="2297"/>
      <c r="CJ243" s="2297"/>
      <c r="CK243" s="2297"/>
      <c r="CL243" s="2297"/>
      <c r="CM243" s="2297"/>
      <c r="CN243" s="2297"/>
      <c r="CO243" s="2297"/>
      <c r="CP243" s="2297"/>
      <c r="CQ243" s="2297"/>
      <c r="CR243" s="2297"/>
      <c r="CS243" s="2297"/>
      <c r="CT243" s="2297"/>
      <c r="CU243" s="2297"/>
      <c r="CV243" s="2297"/>
      <c r="CW243" s="2297"/>
      <c r="CX243" s="2297"/>
      <c r="CY243" s="2297"/>
      <c r="CZ243" s="2297"/>
      <c r="DA243" s="2297"/>
      <c r="DB243" s="2297"/>
      <c r="DC243" s="2297"/>
      <c r="DD243" s="2297"/>
      <c r="DE243" s="2297"/>
      <c r="DF243" s="2297"/>
      <c r="DG243" s="2297"/>
      <c r="DH243" s="2297"/>
      <c r="DI243" s="2297"/>
      <c r="DJ243" s="2297"/>
      <c r="DK243" s="2297"/>
      <c r="DL243" s="2297"/>
      <c r="DM243" s="2297"/>
      <c r="DN243" s="2297"/>
      <c r="DO243" s="2297"/>
      <c r="DP243" s="2297"/>
      <c r="DQ243" s="2297"/>
      <c r="DR243" s="2297"/>
      <c r="DS243" s="2297"/>
      <c r="DT243" s="2297"/>
      <c r="DU243" s="2297"/>
      <c r="DV243" s="2297"/>
      <c r="DW243" s="2297"/>
      <c r="DX243" s="2297"/>
      <c r="DY243" s="2297"/>
      <c r="DZ243" s="2297"/>
      <c r="EA243" s="2297"/>
      <c r="EB243" s="2297"/>
      <c r="EC243" s="2297"/>
      <c r="ED243" s="2297"/>
      <c r="EE243" s="2297"/>
      <c r="EF243" s="2297"/>
      <c r="EG243" s="2297"/>
      <c r="EH243" s="2297"/>
      <c r="EI243" s="2297"/>
      <c r="EJ243" s="2297"/>
      <c r="EK243" s="2297"/>
      <c r="EL243" s="2297"/>
      <c r="EM243" s="2297"/>
      <c r="EN243" s="2297"/>
      <c r="EO243" s="2297"/>
      <c r="EP243" s="2297"/>
      <c r="EQ243" s="2297"/>
      <c r="ER243" s="2297"/>
      <c r="ES243" s="2297"/>
      <c r="ET243" s="2297"/>
      <c r="EU243" s="2297"/>
      <c r="EV243" s="2297"/>
      <c r="EW243" s="2297"/>
      <c r="EX243" s="2297"/>
      <c r="EY243" s="2297"/>
      <c r="EZ243" s="2297"/>
      <c r="FA243" s="2297"/>
      <c r="FB243" s="2297"/>
      <c r="FC243" s="2297"/>
      <c r="FD243" s="2297"/>
      <c r="FE243" s="2297"/>
      <c r="FF243" s="2297"/>
      <c r="FG243" s="2297"/>
      <c r="FH243" s="2297"/>
      <c r="FI243" s="2297"/>
      <c r="FJ243" s="2297"/>
      <c r="FK243" s="2297"/>
      <c r="FL243" s="2297"/>
      <c r="FM243" s="2297"/>
      <c r="FN243" s="2297"/>
      <c r="FO243" s="2297"/>
      <c r="FP243" s="2297"/>
      <c r="FQ243" s="2297"/>
      <c r="FR243" s="2297"/>
      <c r="FS243" s="2297"/>
      <c r="FT243" s="2297"/>
      <c r="FU243" s="2297"/>
      <c r="FV243" s="2297"/>
      <c r="FW243" s="2297"/>
      <c r="FX243" s="2297"/>
      <c r="FY243" s="2297"/>
      <c r="FZ243" s="2297"/>
      <c r="GA243" s="2297"/>
      <c r="GB243" s="2297"/>
      <c r="GC243" s="2297"/>
      <c r="GD243" s="2297"/>
      <c r="GE243" s="2297"/>
      <c r="GF243" s="2297"/>
      <c r="GG243" s="2297"/>
      <c r="GH243" s="2297"/>
      <c r="GI243" s="2297"/>
      <c r="GJ243" s="2297"/>
      <c r="GK243" s="2297"/>
      <c r="GL243" s="2297"/>
      <c r="GM243" s="2297"/>
      <c r="GN243" s="2297"/>
      <c r="GO243" s="2297"/>
      <c r="GP243" s="2297"/>
      <c r="GQ243" s="2297"/>
      <c r="GR243" s="2297"/>
      <c r="GS243" s="2297"/>
      <c r="GT243" s="2297"/>
      <c r="GU243" s="2297"/>
      <c r="GV243" s="2297"/>
      <c r="GW243" s="2297"/>
      <c r="GX243" s="2297"/>
      <c r="GY243" s="2297"/>
      <c r="GZ243" s="2297"/>
      <c r="HA243" s="2297"/>
      <c r="HB243" s="2297"/>
      <c r="HC243" s="2297"/>
      <c r="HD243" s="2297"/>
      <c r="HE243" s="2297"/>
      <c r="HF243" s="2297"/>
      <c r="HG243" s="2297"/>
      <c r="HH243" s="2297"/>
      <c r="HI243" s="2297"/>
      <c r="HJ243" s="2297"/>
      <c r="HK243" s="2297"/>
      <c r="HL243" s="2297"/>
      <c r="HM243" s="2297"/>
      <c r="HN243" s="2297"/>
      <c r="HO243" s="2297"/>
      <c r="HP243" s="2297"/>
      <c r="HQ243" s="2297"/>
      <c r="HR243" s="2297"/>
      <c r="HS243" s="2297"/>
      <c r="HT243" s="2297"/>
      <c r="HU243" s="2297"/>
      <c r="HV243" s="2297"/>
      <c r="HW243" s="2297"/>
      <c r="HX243" s="2297"/>
      <c r="HY243" s="2297"/>
      <c r="HZ243" s="2297"/>
      <c r="IA243" s="2297"/>
      <c r="IB243" s="2297"/>
      <c r="IC243" s="2297"/>
      <c r="ID243" s="2297"/>
      <c r="IE243" s="2297"/>
      <c r="IF243" s="2297"/>
      <c r="IG243" s="2297"/>
      <c r="IH243" s="2297"/>
      <c r="II243" s="2297"/>
      <c r="IJ243" s="2297"/>
      <c r="IK243" s="2297"/>
      <c r="IL243" s="2297"/>
      <c r="IM243" s="2297"/>
      <c r="IN243" s="2297"/>
      <c r="IO243" s="2297"/>
      <c r="IP243" s="2297"/>
      <c r="IQ243" s="2297"/>
      <c r="IR243" s="2297"/>
      <c r="IS243" s="2297"/>
      <c r="IT243" s="2297"/>
      <c r="IU243" s="2297"/>
      <c r="IV243" s="2297"/>
    </row>
    <row r="244" spans="3:256">
      <c r="C244" s="2298"/>
      <c r="D244" s="2298"/>
      <c r="E244" s="2298"/>
      <c r="F244" s="2298"/>
      <c r="G244" s="2298"/>
      <c r="H244" s="2298"/>
      <c r="AC244" s="2297"/>
      <c r="AD244" s="2297"/>
      <c r="AE244" s="2297"/>
      <c r="AF244" s="2297"/>
      <c r="AG244" s="2297"/>
      <c r="AH244" s="2297"/>
      <c r="AI244" s="2297"/>
      <c r="AJ244" s="2297"/>
      <c r="AK244" s="2297"/>
      <c r="AL244" s="2297"/>
      <c r="AM244" s="2297"/>
      <c r="AN244" s="2297"/>
      <c r="AO244" s="2297"/>
      <c r="AP244" s="2297"/>
      <c r="AQ244" s="2297"/>
      <c r="AR244" s="2297"/>
      <c r="AS244" s="2297"/>
      <c r="AT244" s="2297"/>
      <c r="AU244" s="2297"/>
      <c r="AV244" s="2297"/>
      <c r="AW244" s="2297"/>
      <c r="AX244" s="2297"/>
      <c r="AY244" s="2297"/>
      <c r="AZ244" s="2297"/>
      <c r="BA244" s="2297"/>
      <c r="BB244" s="2297"/>
      <c r="BC244" s="2297"/>
      <c r="BD244" s="2297"/>
      <c r="BE244" s="2297"/>
      <c r="BF244" s="2297"/>
      <c r="BG244" s="2297"/>
      <c r="BH244" s="2297"/>
      <c r="BI244" s="2297"/>
      <c r="BJ244" s="2297"/>
      <c r="BK244" s="2297"/>
      <c r="BL244" s="2297"/>
      <c r="BM244" s="2297"/>
      <c r="BN244" s="2297"/>
      <c r="BO244" s="2297"/>
      <c r="BP244" s="2297"/>
      <c r="BQ244" s="2297"/>
      <c r="BR244" s="2297"/>
      <c r="BS244" s="2297"/>
      <c r="BT244" s="2297"/>
      <c r="BU244" s="2297"/>
      <c r="BV244" s="2297"/>
      <c r="BW244" s="2297"/>
      <c r="BX244" s="2297"/>
      <c r="BY244" s="2297"/>
      <c r="BZ244" s="2297"/>
      <c r="CA244" s="2297"/>
      <c r="CB244" s="2297"/>
      <c r="CC244" s="2297"/>
      <c r="CD244" s="2297"/>
      <c r="CE244" s="2297"/>
      <c r="CF244" s="2297"/>
      <c r="CG244" s="2297"/>
      <c r="CH244" s="2297"/>
      <c r="CI244" s="2297"/>
      <c r="CJ244" s="2297"/>
      <c r="CK244" s="2297"/>
      <c r="CL244" s="2297"/>
      <c r="CM244" s="2297"/>
      <c r="CN244" s="2297"/>
      <c r="CO244" s="2297"/>
      <c r="CP244" s="2297"/>
      <c r="CQ244" s="2297"/>
      <c r="CR244" s="2297"/>
      <c r="CS244" s="2297"/>
      <c r="CT244" s="2297"/>
      <c r="CU244" s="2297"/>
      <c r="CV244" s="2297"/>
      <c r="CW244" s="2297"/>
      <c r="CX244" s="2297"/>
      <c r="CY244" s="2297"/>
      <c r="CZ244" s="2297"/>
      <c r="DA244" s="2297"/>
      <c r="DB244" s="2297"/>
      <c r="DC244" s="2297"/>
      <c r="DD244" s="2297"/>
      <c r="DE244" s="2297"/>
      <c r="DF244" s="2297"/>
      <c r="DG244" s="2297"/>
      <c r="DH244" s="2297"/>
      <c r="DI244" s="2297"/>
      <c r="DJ244" s="2297"/>
      <c r="DK244" s="2297"/>
      <c r="DL244" s="2297"/>
      <c r="DM244" s="2297"/>
      <c r="DN244" s="2297"/>
      <c r="DO244" s="2297"/>
      <c r="DP244" s="2297"/>
      <c r="DQ244" s="2297"/>
      <c r="DR244" s="2297"/>
      <c r="DS244" s="2297"/>
      <c r="DT244" s="2297"/>
      <c r="DU244" s="2297"/>
      <c r="DV244" s="2297"/>
      <c r="DW244" s="2297"/>
      <c r="DX244" s="2297"/>
      <c r="DY244" s="2297"/>
      <c r="DZ244" s="2297"/>
      <c r="EA244" s="2297"/>
      <c r="EB244" s="2297"/>
      <c r="EC244" s="2297"/>
      <c r="ED244" s="2297"/>
      <c r="EE244" s="2297"/>
      <c r="EF244" s="2297"/>
      <c r="EG244" s="2297"/>
      <c r="EH244" s="2297"/>
      <c r="EI244" s="2297"/>
      <c r="EJ244" s="2297"/>
      <c r="EK244" s="2297"/>
      <c r="EL244" s="2297"/>
      <c r="EM244" s="2297"/>
      <c r="EN244" s="2297"/>
      <c r="EO244" s="2297"/>
      <c r="EP244" s="2297"/>
      <c r="EQ244" s="2297"/>
      <c r="ER244" s="2297"/>
      <c r="ES244" s="2297"/>
      <c r="ET244" s="2297"/>
      <c r="EU244" s="2297"/>
      <c r="EV244" s="2297"/>
      <c r="EW244" s="2297"/>
      <c r="EX244" s="2297"/>
      <c r="EY244" s="2297"/>
      <c r="EZ244" s="2297"/>
      <c r="FA244" s="2297"/>
      <c r="FB244" s="2297"/>
      <c r="FC244" s="2297"/>
      <c r="FD244" s="2297"/>
      <c r="FE244" s="2297"/>
      <c r="FF244" s="2297"/>
      <c r="FG244" s="2297"/>
      <c r="FH244" s="2297"/>
      <c r="FI244" s="2297"/>
      <c r="FJ244" s="2297"/>
      <c r="FK244" s="2297"/>
      <c r="FL244" s="2297"/>
      <c r="FM244" s="2297"/>
      <c r="FN244" s="2297"/>
      <c r="FO244" s="2297"/>
      <c r="FP244" s="2297"/>
      <c r="FQ244" s="2297"/>
      <c r="FR244" s="2297"/>
      <c r="FS244" s="2297"/>
      <c r="FT244" s="2297"/>
      <c r="FU244" s="2297"/>
      <c r="FV244" s="2297"/>
      <c r="FW244" s="2297"/>
      <c r="FX244" s="2297"/>
      <c r="FY244" s="2297"/>
      <c r="FZ244" s="2297"/>
      <c r="GA244" s="2297"/>
      <c r="GB244" s="2297"/>
      <c r="GC244" s="2297"/>
      <c r="GD244" s="2297"/>
      <c r="GE244" s="2297"/>
      <c r="GF244" s="2297"/>
      <c r="GG244" s="2297"/>
      <c r="GH244" s="2297"/>
      <c r="GI244" s="2297"/>
      <c r="GJ244" s="2297"/>
      <c r="GK244" s="2297"/>
      <c r="GL244" s="2297"/>
      <c r="GM244" s="2297"/>
      <c r="GN244" s="2297"/>
      <c r="GO244" s="2297"/>
      <c r="GP244" s="2297"/>
      <c r="GQ244" s="2297"/>
      <c r="GR244" s="2297"/>
      <c r="GS244" s="2297"/>
      <c r="GT244" s="2297"/>
      <c r="GU244" s="2297"/>
      <c r="GV244" s="2297"/>
      <c r="GW244" s="2297"/>
      <c r="GX244" s="2297"/>
      <c r="GY244" s="2297"/>
      <c r="GZ244" s="2297"/>
      <c r="HA244" s="2297"/>
      <c r="HB244" s="2297"/>
      <c r="HC244" s="2297"/>
      <c r="HD244" s="2297"/>
      <c r="HE244" s="2297"/>
      <c r="HF244" s="2297"/>
      <c r="HG244" s="2297"/>
      <c r="HH244" s="2297"/>
      <c r="HI244" s="2297"/>
      <c r="HJ244" s="2297"/>
      <c r="HK244" s="2297"/>
      <c r="HL244" s="2297"/>
      <c r="HM244" s="2297"/>
      <c r="HN244" s="2297"/>
      <c r="HO244" s="2297"/>
      <c r="HP244" s="2297"/>
      <c r="HQ244" s="2297"/>
      <c r="HR244" s="2297"/>
      <c r="HS244" s="2297"/>
      <c r="HT244" s="2297"/>
      <c r="HU244" s="2297"/>
      <c r="HV244" s="2297"/>
      <c r="HW244" s="2297"/>
      <c r="HX244" s="2297"/>
      <c r="HY244" s="2297"/>
      <c r="HZ244" s="2297"/>
      <c r="IA244" s="2297"/>
      <c r="IB244" s="2297"/>
      <c r="IC244" s="2297"/>
      <c r="ID244" s="2297"/>
      <c r="IE244" s="2297"/>
      <c r="IF244" s="2297"/>
      <c r="IG244" s="2297"/>
      <c r="IH244" s="2297"/>
      <c r="II244" s="2297"/>
      <c r="IJ244" s="2297"/>
      <c r="IK244" s="2297"/>
      <c r="IL244" s="2297"/>
      <c r="IM244" s="2297"/>
      <c r="IN244" s="2297"/>
      <c r="IO244" s="2297"/>
      <c r="IP244" s="2297"/>
      <c r="IQ244" s="2297"/>
      <c r="IR244" s="2297"/>
      <c r="IS244" s="2297"/>
      <c r="IT244" s="2297"/>
      <c r="IU244" s="2297"/>
      <c r="IV244" s="2297"/>
    </row>
    <row r="245" spans="3:256">
      <c r="C245" s="2298"/>
      <c r="D245" s="2298"/>
      <c r="E245" s="2298"/>
      <c r="F245" s="2298"/>
      <c r="G245" s="2298"/>
      <c r="H245" s="2298"/>
      <c r="AC245" s="2297"/>
      <c r="AD245" s="2297"/>
      <c r="AE245" s="2297"/>
      <c r="AF245" s="2297"/>
      <c r="AG245" s="2297"/>
      <c r="AH245" s="2297"/>
      <c r="AI245" s="2297"/>
      <c r="AJ245" s="2297"/>
      <c r="AK245" s="2297"/>
      <c r="AL245" s="2297"/>
      <c r="AM245" s="2297"/>
      <c r="AN245" s="2297"/>
      <c r="AO245" s="2297"/>
      <c r="AP245" s="2297"/>
      <c r="AQ245" s="2297"/>
      <c r="AR245" s="2297"/>
      <c r="AS245" s="2297"/>
      <c r="AT245" s="2297"/>
      <c r="AU245" s="2297"/>
      <c r="AV245" s="2297"/>
      <c r="AW245" s="2297"/>
      <c r="AX245" s="2297"/>
      <c r="AY245" s="2297"/>
      <c r="AZ245" s="2297"/>
      <c r="BA245" s="2297"/>
      <c r="BB245" s="2297"/>
      <c r="BC245" s="2297"/>
      <c r="BD245" s="2297"/>
      <c r="BE245" s="2297"/>
      <c r="BF245" s="2297"/>
      <c r="BG245" s="2297"/>
      <c r="BH245" s="2297"/>
      <c r="BI245" s="2297"/>
      <c r="BJ245" s="2297"/>
      <c r="BK245" s="2297"/>
      <c r="BL245" s="2297"/>
      <c r="BM245" s="2297"/>
      <c r="BN245" s="2297"/>
      <c r="BO245" s="2297"/>
      <c r="BP245" s="2297"/>
      <c r="BQ245" s="2297"/>
      <c r="BR245" s="2297"/>
      <c r="BS245" s="2297"/>
      <c r="BT245" s="2297"/>
      <c r="BU245" s="2297"/>
      <c r="BV245" s="2297"/>
      <c r="BW245" s="2297"/>
      <c r="BX245" s="2297"/>
      <c r="BY245" s="2297"/>
      <c r="BZ245" s="2297"/>
      <c r="CA245" s="2297"/>
      <c r="CB245" s="2297"/>
      <c r="CC245" s="2297"/>
      <c r="CD245" s="2297"/>
      <c r="CE245" s="2297"/>
      <c r="CF245" s="2297"/>
      <c r="CG245" s="2297"/>
      <c r="CH245" s="2297"/>
      <c r="CI245" s="2297"/>
      <c r="CJ245" s="2297"/>
      <c r="CK245" s="2297"/>
      <c r="CL245" s="2297"/>
      <c r="CM245" s="2297"/>
      <c r="CN245" s="2297"/>
      <c r="CO245" s="2297"/>
      <c r="CP245" s="2297"/>
      <c r="CQ245" s="2297"/>
      <c r="CR245" s="2297"/>
      <c r="CS245" s="2297"/>
      <c r="CT245" s="2297"/>
      <c r="CU245" s="2297"/>
      <c r="CV245" s="2297"/>
      <c r="CW245" s="2297"/>
      <c r="CX245" s="2297"/>
      <c r="CY245" s="2297"/>
      <c r="CZ245" s="2297"/>
      <c r="DA245" s="2297"/>
      <c r="DB245" s="2297"/>
      <c r="DC245" s="2297"/>
      <c r="DD245" s="2297"/>
      <c r="DE245" s="2297"/>
      <c r="DF245" s="2297"/>
      <c r="DG245" s="2297"/>
      <c r="DH245" s="2297"/>
      <c r="DI245" s="2297"/>
      <c r="DJ245" s="2297"/>
      <c r="DK245" s="2297"/>
      <c r="DL245" s="2297"/>
      <c r="DM245" s="2297"/>
      <c r="DN245" s="2297"/>
      <c r="DO245" s="2297"/>
      <c r="DP245" s="2297"/>
      <c r="DQ245" s="2297"/>
      <c r="DR245" s="2297"/>
      <c r="DS245" s="2297"/>
      <c r="DT245" s="2297"/>
      <c r="DU245" s="2297"/>
      <c r="DV245" s="2297"/>
      <c r="DW245" s="2297"/>
      <c r="DX245" s="2297"/>
      <c r="DY245" s="2297"/>
      <c r="DZ245" s="2297"/>
      <c r="EA245" s="2297"/>
      <c r="EB245" s="2297"/>
      <c r="EC245" s="2297"/>
      <c r="ED245" s="2297"/>
      <c r="EE245" s="2297"/>
      <c r="EF245" s="2297"/>
      <c r="EG245" s="2297"/>
      <c r="EH245" s="2297"/>
      <c r="EI245" s="2297"/>
      <c r="EJ245" s="2297"/>
      <c r="EK245" s="2297"/>
      <c r="EL245" s="2297"/>
      <c r="EM245" s="2297"/>
      <c r="EN245" s="2297"/>
      <c r="EO245" s="2297"/>
      <c r="EP245" s="2297"/>
      <c r="EQ245" s="2297"/>
      <c r="ER245" s="2297"/>
      <c r="ES245" s="2297"/>
      <c r="ET245" s="2297"/>
      <c r="EU245" s="2297"/>
      <c r="EV245" s="2297"/>
      <c r="EW245" s="2297"/>
      <c r="EX245" s="2297"/>
      <c r="EY245" s="2297"/>
      <c r="EZ245" s="2297"/>
      <c r="FA245" s="2297"/>
      <c r="FB245" s="2297"/>
      <c r="FC245" s="2297"/>
      <c r="FD245" s="2297"/>
      <c r="FE245" s="2297"/>
      <c r="FF245" s="2297"/>
      <c r="FG245" s="2297"/>
      <c r="FH245" s="2297"/>
      <c r="FI245" s="2297"/>
      <c r="FJ245" s="2297"/>
      <c r="FK245" s="2297"/>
      <c r="FL245" s="2297"/>
      <c r="FM245" s="2297"/>
      <c r="FN245" s="2297"/>
      <c r="FO245" s="2297"/>
      <c r="FP245" s="2297"/>
      <c r="FQ245" s="2297"/>
      <c r="FR245" s="2297"/>
      <c r="FS245" s="2297"/>
      <c r="FT245" s="2297"/>
      <c r="FU245" s="2297"/>
      <c r="FV245" s="2297"/>
      <c r="FW245" s="2297"/>
      <c r="FX245" s="2297"/>
      <c r="FY245" s="2297"/>
      <c r="FZ245" s="2297"/>
      <c r="GA245" s="2297"/>
      <c r="GB245" s="2297"/>
      <c r="GC245" s="2297"/>
      <c r="GD245" s="2297"/>
      <c r="GE245" s="2297"/>
      <c r="GF245" s="2297"/>
      <c r="GG245" s="2297"/>
      <c r="GH245" s="2297"/>
      <c r="GI245" s="2297"/>
      <c r="GJ245" s="2297"/>
      <c r="GK245" s="2297"/>
      <c r="GL245" s="2297"/>
      <c r="GM245" s="2297"/>
      <c r="GN245" s="2297"/>
      <c r="GO245" s="2297"/>
      <c r="GP245" s="2297"/>
      <c r="GQ245" s="2297"/>
      <c r="GR245" s="2297"/>
      <c r="GS245" s="2297"/>
      <c r="GT245" s="2297"/>
      <c r="GU245" s="2297"/>
      <c r="GV245" s="2297"/>
      <c r="GW245" s="2297"/>
      <c r="GX245" s="2297"/>
      <c r="GY245" s="2297"/>
      <c r="GZ245" s="2297"/>
      <c r="HA245" s="2297"/>
      <c r="HB245" s="2297"/>
      <c r="HC245" s="2297"/>
      <c r="HD245" s="2297"/>
      <c r="HE245" s="2297"/>
      <c r="HF245" s="2297"/>
      <c r="HG245" s="2297"/>
      <c r="HH245" s="2297"/>
      <c r="HI245" s="2297"/>
      <c r="HJ245" s="2297"/>
      <c r="HK245" s="2297"/>
      <c r="HL245" s="2297"/>
      <c r="HM245" s="2297"/>
      <c r="HN245" s="2297"/>
      <c r="HO245" s="2297"/>
      <c r="HP245" s="2297"/>
      <c r="HQ245" s="2297"/>
      <c r="HR245" s="2297"/>
      <c r="HS245" s="2297"/>
      <c r="HT245" s="2297"/>
      <c r="HU245" s="2297"/>
      <c r="HV245" s="2297"/>
      <c r="HW245" s="2297"/>
      <c r="HX245" s="2297"/>
      <c r="HY245" s="2297"/>
      <c r="HZ245" s="2297"/>
      <c r="IA245" s="2297"/>
      <c r="IB245" s="2297"/>
      <c r="IC245" s="2297"/>
      <c r="ID245" s="2297"/>
      <c r="IE245" s="2297"/>
      <c r="IF245" s="2297"/>
      <c r="IG245" s="2297"/>
      <c r="IH245" s="2297"/>
      <c r="II245" s="2297"/>
      <c r="IJ245" s="2297"/>
      <c r="IK245" s="2297"/>
      <c r="IL245" s="2297"/>
      <c r="IM245" s="2297"/>
      <c r="IN245" s="2297"/>
      <c r="IO245" s="2297"/>
      <c r="IP245" s="2297"/>
      <c r="IQ245" s="2297"/>
      <c r="IR245" s="2297"/>
      <c r="IS245" s="2297"/>
      <c r="IT245" s="2297"/>
      <c r="IU245" s="2297"/>
      <c r="IV245" s="2297"/>
    </row>
    <row r="246" spans="3:256">
      <c r="C246" s="2298"/>
      <c r="D246" s="2298"/>
      <c r="E246" s="2298"/>
      <c r="F246" s="2298"/>
      <c r="G246" s="2298"/>
      <c r="H246" s="2298"/>
      <c r="AC246" s="2297"/>
      <c r="AD246" s="2297"/>
      <c r="AE246" s="2297"/>
      <c r="AF246" s="2297"/>
      <c r="AG246" s="2297"/>
      <c r="AH246" s="2297"/>
      <c r="AI246" s="2297"/>
      <c r="AJ246" s="2297"/>
      <c r="AK246" s="2297"/>
      <c r="AL246" s="2297"/>
      <c r="AM246" s="2297"/>
      <c r="AN246" s="2297"/>
      <c r="AO246" s="2297"/>
      <c r="AP246" s="2297"/>
      <c r="AQ246" s="2297"/>
      <c r="AR246" s="2297"/>
      <c r="AS246" s="2297"/>
      <c r="AT246" s="2297"/>
      <c r="AU246" s="2297"/>
      <c r="AV246" s="2297"/>
      <c r="AW246" s="2297"/>
      <c r="AX246" s="2297"/>
      <c r="AY246" s="2297"/>
      <c r="AZ246" s="2297"/>
      <c r="BA246" s="2297"/>
      <c r="BB246" s="2297"/>
      <c r="BC246" s="2297"/>
      <c r="BD246" s="2297"/>
      <c r="BE246" s="2297"/>
      <c r="BF246" s="2297"/>
      <c r="BG246" s="2297"/>
      <c r="BH246" s="2297"/>
      <c r="BI246" s="2297"/>
      <c r="BJ246" s="2297"/>
      <c r="BK246" s="2297"/>
      <c r="BL246" s="2297"/>
      <c r="BM246" s="2297"/>
      <c r="BN246" s="2297"/>
      <c r="BO246" s="2297"/>
      <c r="BP246" s="2297"/>
      <c r="BQ246" s="2297"/>
      <c r="BR246" s="2297"/>
      <c r="BS246" s="2297"/>
      <c r="BT246" s="2297"/>
      <c r="BU246" s="2297"/>
      <c r="BV246" s="2297"/>
      <c r="BW246" s="2297"/>
      <c r="BX246" s="2297"/>
      <c r="BY246" s="2297"/>
      <c r="BZ246" s="2297"/>
      <c r="CA246" s="2297"/>
      <c r="CB246" s="2297"/>
      <c r="CC246" s="2297"/>
      <c r="CD246" s="2297"/>
      <c r="CE246" s="2297"/>
      <c r="CF246" s="2297"/>
      <c r="CG246" s="2297"/>
      <c r="CH246" s="2297"/>
      <c r="CI246" s="2297"/>
      <c r="CJ246" s="2297"/>
      <c r="CK246" s="2297"/>
      <c r="CL246" s="2297"/>
      <c r="CM246" s="2297"/>
      <c r="CN246" s="2297"/>
      <c r="CO246" s="2297"/>
      <c r="CP246" s="2297"/>
      <c r="CQ246" s="2297"/>
      <c r="CR246" s="2297"/>
      <c r="CS246" s="2297"/>
      <c r="CT246" s="2297"/>
      <c r="CU246" s="2297"/>
      <c r="CV246" s="2297"/>
      <c r="CW246" s="2297"/>
      <c r="CX246" s="2297"/>
      <c r="CY246" s="2297"/>
      <c r="CZ246" s="2297"/>
      <c r="DA246" s="2297"/>
      <c r="DB246" s="2297"/>
      <c r="DC246" s="2297"/>
      <c r="DD246" s="2297"/>
      <c r="DE246" s="2297"/>
      <c r="DF246" s="2297"/>
      <c r="DG246" s="2297"/>
      <c r="DH246" s="2297"/>
      <c r="DI246" s="2297"/>
      <c r="DJ246" s="2297"/>
      <c r="DK246" s="2297"/>
      <c r="DL246" s="2297"/>
      <c r="DM246" s="2297"/>
      <c r="DN246" s="2297"/>
      <c r="DO246" s="2297"/>
      <c r="DP246" s="2297"/>
      <c r="DQ246" s="2297"/>
      <c r="DR246" s="2297"/>
      <c r="DS246" s="2297"/>
      <c r="DT246" s="2297"/>
      <c r="DU246" s="2297"/>
      <c r="DV246" s="2297"/>
      <c r="DW246" s="2297"/>
      <c r="DX246" s="2297"/>
      <c r="DY246" s="2297"/>
      <c r="DZ246" s="2297"/>
      <c r="EA246" s="2297"/>
      <c r="EB246" s="2297"/>
      <c r="EC246" s="2297"/>
      <c r="ED246" s="2297"/>
      <c r="EE246" s="2297"/>
      <c r="EF246" s="2297"/>
      <c r="EG246" s="2297"/>
      <c r="EH246" s="2297"/>
      <c r="EI246" s="2297"/>
      <c r="EJ246" s="2297"/>
      <c r="EK246" s="2297"/>
      <c r="EL246" s="2297"/>
      <c r="EM246" s="2297"/>
      <c r="EN246" s="2297"/>
      <c r="EO246" s="2297"/>
      <c r="EP246" s="2297"/>
      <c r="EQ246" s="2297"/>
      <c r="ER246" s="2297"/>
      <c r="ES246" s="2297"/>
      <c r="ET246" s="2297"/>
      <c r="EU246" s="2297"/>
      <c r="EV246" s="2297"/>
      <c r="EW246" s="2297"/>
      <c r="EX246" s="2297"/>
      <c r="EY246" s="2297"/>
      <c r="EZ246" s="2297"/>
      <c r="FA246" s="2297"/>
      <c r="FB246" s="2297"/>
      <c r="FC246" s="2297"/>
      <c r="FD246" s="2297"/>
      <c r="FE246" s="2297"/>
      <c r="FF246" s="2297"/>
      <c r="FG246" s="2297"/>
      <c r="FH246" s="2297"/>
      <c r="FI246" s="2297"/>
      <c r="FJ246" s="2297"/>
      <c r="FK246" s="2297"/>
      <c r="FL246" s="2297"/>
      <c r="FM246" s="2297"/>
      <c r="FN246" s="2297"/>
      <c r="FO246" s="2297"/>
      <c r="FP246" s="2297"/>
      <c r="FQ246" s="2297"/>
      <c r="FR246" s="2297"/>
      <c r="FS246" s="2297"/>
      <c r="FT246" s="2297"/>
      <c r="FU246" s="2297"/>
      <c r="FV246" s="2297"/>
      <c r="FW246" s="2297"/>
      <c r="FX246" s="2297"/>
      <c r="FY246" s="2297"/>
      <c r="FZ246" s="2297"/>
      <c r="GA246" s="2297"/>
      <c r="GB246" s="2297"/>
      <c r="GC246" s="2297"/>
      <c r="GD246" s="2297"/>
      <c r="GE246" s="2297"/>
      <c r="GF246" s="2297"/>
      <c r="GG246" s="2297"/>
      <c r="GH246" s="2297"/>
      <c r="GI246" s="2297"/>
      <c r="GJ246" s="2297"/>
      <c r="GK246" s="2297"/>
      <c r="GL246" s="2297"/>
      <c r="GM246" s="2297"/>
      <c r="GN246" s="2297"/>
      <c r="GO246" s="2297"/>
      <c r="GP246" s="2297"/>
      <c r="GQ246" s="2297"/>
      <c r="GR246" s="2297"/>
      <c r="GS246" s="2297"/>
      <c r="GT246" s="2297"/>
      <c r="GU246" s="2297"/>
      <c r="GV246" s="2297"/>
      <c r="GW246" s="2297"/>
      <c r="GX246" s="2297"/>
      <c r="GY246" s="2297"/>
      <c r="GZ246" s="2297"/>
      <c r="HA246" s="2297"/>
      <c r="HB246" s="2297"/>
      <c r="HC246" s="2297"/>
      <c r="HD246" s="2297"/>
      <c r="HE246" s="2297"/>
      <c r="HF246" s="2297"/>
      <c r="HG246" s="2297"/>
      <c r="HH246" s="2297"/>
      <c r="HI246" s="2297"/>
      <c r="HJ246" s="2297"/>
      <c r="HK246" s="2297"/>
      <c r="HL246" s="2297"/>
      <c r="HM246" s="2297"/>
      <c r="HN246" s="2297"/>
      <c r="HO246" s="2297"/>
      <c r="HP246" s="2297"/>
      <c r="HQ246" s="2297"/>
      <c r="HR246" s="2297"/>
      <c r="HS246" s="2297"/>
      <c r="HT246" s="2297"/>
      <c r="HU246" s="2297"/>
      <c r="HV246" s="2297"/>
      <c r="HW246" s="2297"/>
      <c r="HX246" s="2297"/>
      <c r="HY246" s="2297"/>
      <c r="HZ246" s="2297"/>
      <c r="IA246" s="2297"/>
      <c r="IB246" s="2297"/>
      <c r="IC246" s="2297"/>
      <c r="ID246" s="2297"/>
      <c r="IE246" s="2297"/>
      <c r="IF246" s="2297"/>
      <c r="IG246" s="2297"/>
      <c r="IH246" s="2297"/>
      <c r="II246" s="2297"/>
      <c r="IJ246" s="2297"/>
      <c r="IK246" s="2297"/>
      <c r="IL246" s="2297"/>
      <c r="IM246" s="2297"/>
      <c r="IN246" s="2297"/>
      <c r="IO246" s="2297"/>
      <c r="IP246" s="2297"/>
      <c r="IQ246" s="2297"/>
      <c r="IR246" s="2297"/>
      <c r="IS246" s="2297"/>
      <c r="IT246" s="2297"/>
      <c r="IU246" s="2297"/>
      <c r="IV246" s="2297"/>
    </row>
    <row r="247" spans="3:256">
      <c r="C247" s="2298"/>
      <c r="D247" s="2298"/>
      <c r="E247" s="2298"/>
      <c r="F247" s="2298"/>
      <c r="G247" s="2298"/>
      <c r="H247" s="2298"/>
      <c r="AC247" s="2297"/>
      <c r="AD247" s="2297"/>
      <c r="AE247" s="2297"/>
      <c r="AF247" s="2297"/>
      <c r="AG247" s="2297"/>
      <c r="AH247" s="2297"/>
      <c r="AI247" s="2297"/>
      <c r="AJ247" s="2297"/>
      <c r="AK247" s="2297"/>
      <c r="AL247" s="2297"/>
      <c r="AM247" s="2297"/>
      <c r="AN247" s="2297"/>
      <c r="AO247" s="2297"/>
      <c r="AP247" s="2297"/>
      <c r="AQ247" s="2297"/>
      <c r="AR247" s="2297"/>
      <c r="AS247" s="2297"/>
      <c r="AT247" s="2297"/>
      <c r="AU247" s="2297"/>
      <c r="AV247" s="2297"/>
      <c r="AW247" s="2297"/>
      <c r="AX247" s="2297"/>
      <c r="AY247" s="2297"/>
      <c r="AZ247" s="2297"/>
      <c r="BA247" s="2297"/>
      <c r="BB247" s="2297"/>
      <c r="BC247" s="2297"/>
      <c r="BD247" s="2297"/>
      <c r="BE247" s="2297"/>
      <c r="BF247" s="2297"/>
      <c r="BG247" s="2297"/>
      <c r="BH247" s="2297"/>
      <c r="BI247" s="2297"/>
      <c r="BJ247" s="2297"/>
      <c r="BK247" s="2297"/>
      <c r="BL247" s="2297"/>
      <c r="BM247" s="2297"/>
      <c r="BN247" s="2297"/>
      <c r="BO247" s="2297"/>
      <c r="BP247" s="2297"/>
      <c r="BQ247" s="2297"/>
      <c r="BR247" s="2297"/>
      <c r="BS247" s="2297"/>
      <c r="BT247" s="2297"/>
      <c r="BU247" s="2297"/>
      <c r="BV247" s="2297"/>
      <c r="BW247" s="2297"/>
      <c r="BX247" s="2297"/>
      <c r="BY247" s="2297"/>
      <c r="BZ247" s="2297"/>
      <c r="CA247" s="2297"/>
      <c r="CB247" s="2297"/>
      <c r="CC247" s="2297"/>
      <c r="CD247" s="2297"/>
      <c r="CE247" s="2297"/>
      <c r="CF247" s="2297"/>
      <c r="CG247" s="2297"/>
      <c r="CH247" s="2297"/>
      <c r="CI247" s="2297"/>
      <c r="CJ247" s="2297"/>
      <c r="CK247" s="2297"/>
      <c r="CL247" s="2297"/>
      <c r="CM247" s="2297"/>
      <c r="CN247" s="2297"/>
      <c r="CO247" s="2297"/>
      <c r="CP247" s="2297"/>
      <c r="CQ247" s="2297"/>
      <c r="CR247" s="2297"/>
      <c r="CS247" s="2297"/>
      <c r="CT247" s="2297"/>
      <c r="CU247" s="2297"/>
      <c r="CV247" s="2297"/>
      <c r="CW247" s="2297"/>
      <c r="CX247" s="2297"/>
      <c r="CY247" s="2297"/>
      <c r="CZ247" s="2297"/>
      <c r="DA247" s="2297"/>
      <c r="DB247" s="2297"/>
      <c r="DC247" s="2297"/>
      <c r="DD247" s="2297"/>
      <c r="DE247" s="2297"/>
      <c r="DF247" s="2297"/>
      <c r="DG247" s="2297"/>
      <c r="DH247" s="2297"/>
      <c r="DI247" s="2297"/>
      <c r="DJ247" s="2297"/>
      <c r="DK247" s="2297"/>
      <c r="DL247" s="2297"/>
      <c r="DM247" s="2297"/>
      <c r="DN247" s="2297"/>
      <c r="DO247" s="2297"/>
      <c r="DP247" s="2297"/>
      <c r="DQ247" s="2297"/>
      <c r="DR247" s="2297"/>
      <c r="DS247" s="2297"/>
      <c r="DT247" s="2297"/>
      <c r="DU247" s="2297"/>
      <c r="DV247" s="2297"/>
      <c r="DW247" s="2297"/>
      <c r="DX247" s="2297"/>
      <c r="DY247" s="2297"/>
      <c r="DZ247" s="2297"/>
      <c r="EA247" s="2297"/>
      <c r="EB247" s="2297"/>
      <c r="EC247" s="2297"/>
      <c r="ED247" s="2297"/>
      <c r="EE247" s="2297"/>
      <c r="EF247" s="2297"/>
      <c r="EG247" s="2297"/>
      <c r="EH247" s="2297"/>
      <c r="EI247" s="2297"/>
      <c r="EJ247" s="2297"/>
      <c r="EK247" s="2297"/>
      <c r="EL247" s="2297"/>
      <c r="EM247" s="2297"/>
      <c r="EN247" s="2297"/>
      <c r="EO247" s="2297"/>
      <c r="EP247" s="2297"/>
      <c r="EQ247" s="2297"/>
      <c r="ER247" s="2297"/>
      <c r="ES247" s="2297"/>
      <c r="ET247" s="2297"/>
      <c r="EU247" s="2297"/>
      <c r="EV247" s="2297"/>
      <c r="EW247" s="2297"/>
      <c r="EX247" s="2297"/>
      <c r="EY247" s="2297"/>
      <c r="EZ247" s="2297"/>
      <c r="FA247" s="2297"/>
      <c r="FB247" s="2297"/>
      <c r="FC247" s="2297"/>
      <c r="FD247" s="2297"/>
      <c r="FE247" s="2297"/>
      <c r="FF247" s="2297"/>
      <c r="FG247" s="2297"/>
      <c r="FH247" s="2297"/>
      <c r="FI247" s="2297"/>
      <c r="FJ247" s="2297"/>
      <c r="FK247" s="2297"/>
      <c r="FL247" s="2297"/>
      <c r="FM247" s="2297"/>
      <c r="FN247" s="2297"/>
      <c r="FO247" s="2297"/>
      <c r="FP247" s="2297"/>
      <c r="FQ247" s="2297"/>
      <c r="FR247" s="2297"/>
      <c r="FS247" s="2297"/>
      <c r="FT247" s="2297"/>
      <c r="FU247" s="2297"/>
      <c r="FV247" s="2297"/>
      <c r="FW247" s="2297"/>
      <c r="FX247" s="2297"/>
      <c r="FY247" s="2297"/>
      <c r="FZ247" s="2297"/>
      <c r="GA247" s="2297"/>
      <c r="GB247" s="2297"/>
      <c r="GC247" s="2297"/>
      <c r="GD247" s="2297"/>
      <c r="GE247" s="2297"/>
      <c r="GF247" s="2297"/>
      <c r="GG247" s="2297"/>
      <c r="GH247" s="2297"/>
      <c r="GI247" s="2297"/>
      <c r="GJ247" s="2297"/>
      <c r="GK247" s="2297"/>
      <c r="GL247" s="2297"/>
      <c r="GM247" s="2297"/>
      <c r="GN247" s="2297"/>
      <c r="GO247" s="2297"/>
      <c r="GP247" s="2297"/>
      <c r="GQ247" s="2297"/>
      <c r="GR247" s="2297"/>
      <c r="GS247" s="2297"/>
      <c r="GT247" s="2297"/>
      <c r="GU247" s="2297"/>
      <c r="GV247" s="2297"/>
      <c r="GW247" s="2297"/>
      <c r="GX247" s="2297"/>
      <c r="GY247" s="2297"/>
      <c r="GZ247" s="2297"/>
      <c r="HA247" s="2297"/>
      <c r="HB247" s="2297"/>
      <c r="HC247" s="2297"/>
      <c r="HD247" s="2297"/>
      <c r="HE247" s="2297"/>
      <c r="HF247" s="2297"/>
      <c r="HG247" s="2297"/>
      <c r="HH247" s="2297"/>
      <c r="HI247" s="2297"/>
      <c r="HJ247" s="2297"/>
      <c r="HK247" s="2297"/>
      <c r="HL247" s="2297"/>
      <c r="HM247" s="2297"/>
      <c r="HN247" s="2297"/>
      <c r="HO247" s="2297"/>
      <c r="HP247" s="2297"/>
      <c r="HQ247" s="2297"/>
      <c r="HR247" s="2297"/>
      <c r="HS247" s="2297"/>
      <c r="HT247" s="2297"/>
      <c r="HU247" s="2297"/>
      <c r="HV247" s="2297"/>
      <c r="HW247" s="2297"/>
      <c r="HX247" s="2297"/>
      <c r="HY247" s="2297"/>
      <c r="HZ247" s="2297"/>
      <c r="IA247" s="2297"/>
      <c r="IB247" s="2297"/>
      <c r="IC247" s="2297"/>
      <c r="ID247" s="2297"/>
      <c r="IE247" s="2297"/>
      <c r="IF247" s="2297"/>
      <c r="IG247" s="2297"/>
      <c r="IH247" s="2297"/>
      <c r="II247" s="2297"/>
      <c r="IJ247" s="2297"/>
      <c r="IK247" s="2297"/>
      <c r="IL247" s="2297"/>
      <c r="IM247" s="2297"/>
      <c r="IN247" s="2297"/>
      <c r="IO247" s="2297"/>
      <c r="IP247" s="2297"/>
      <c r="IQ247" s="2297"/>
      <c r="IR247" s="2297"/>
      <c r="IS247" s="2297"/>
      <c r="IT247" s="2297"/>
      <c r="IU247" s="2297"/>
      <c r="IV247" s="2297"/>
    </row>
    <row r="248" spans="3:256">
      <c r="C248" s="2298"/>
      <c r="D248" s="2298"/>
      <c r="E248" s="2298"/>
      <c r="F248" s="2298"/>
      <c r="G248" s="2298"/>
      <c r="H248" s="2298"/>
      <c r="AC248" s="2297"/>
      <c r="AD248" s="2297"/>
      <c r="AE248" s="2297"/>
      <c r="AF248" s="2297"/>
      <c r="AG248" s="2297"/>
      <c r="AH248" s="2297"/>
      <c r="AI248" s="2297"/>
      <c r="AJ248" s="2297"/>
      <c r="AK248" s="2297"/>
      <c r="AL248" s="2297"/>
      <c r="AM248" s="2297"/>
      <c r="AN248" s="2297"/>
      <c r="AO248" s="2297"/>
      <c r="AP248" s="2297"/>
      <c r="AQ248" s="2297"/>
      <c r="AR248" s="2297"/>
      <c r="AS248" s="2297"/>
      <c r="AT248" s="2297"/>
      <c r="AU248" s="2297"/>
      <c r="AV248" s="2297"/>
      <c r="AW248" s="2297"/>
      <c r="AX248" s="2297"/>
      <c r="AY248" s="2297"/>
      <c r="AZ248" s="2297"/>
      <c r="BA248" s="2297"/>
      <c r="BB248" s="2297"/>
      <c r="BC248" s="2297"/>
      <c r="BD248" s="2297"/>
      <c r="BE248" s="2297"/>
      <c r="BF248" s="2297"/>
      <c r="BG248" s="2297"/>
      <c r="BH248" s="2297"/>
      <c r="BI248" s="2297"/>
      <c r="BJ248" s="2297"/>
      <c r="BK248" s="2297"/>
      <c r="BL248" s="2297"/>
      <c r="BM248" s="2297"/>
      <c r="BN248" s="2297"/>
      <c r="BO248" s="2297"/>
      <c r="BP248" s="2297"/>
      <c r="BQ248" s="2297"/>
      <c r="BR248" s="2297"/>
      <c r="BS248" s="2297"/>
      <c r="BT248" s="2297"/>
      <c r="BU248" s="2297"/>
      <c r="BV248" s="2297"/>
      <c r="BW248" s="2297"/>
      <c r="BX248" s="2297"/>
      <c r="BY248" s="2297"/>
      <c r="BZ248" s="2297"/>
      <c r="CA248" s="2297"/>
      <c r="CB248" s="2297"/>
      <c r="CC248" s="2297"/>
      <c r="CD248" s="2297"/>
      <c r="CE248" s="2297"/>
      <c r="CF248" s="2297"/>
      <c r="CG248" s="2297"/>
      <c r="CH248" s="2297"/>
      <c r="CI248" s="2297"/>
      <c r="CJ248" s="2297"/>
      <c r="CK248" s="2297"/>
      <c r="CL248" s="2297"/>
      <c r="CM248" s="2297"/>
      <c r="CN248" s="2297"/>
      <c r="CO248" s="2297"/>
      <c r="CP248" s="2297"/>
      <c r="CQ248" s="2297"/>
      <c r="CR248" s="2297"/>
      <c r="CS248" s="2297"/>
      <c r="CT248" s="2297"/>
      <c r="CU248" s="2297"/>
      <c r="CV248" s="2297"/>
      <c r="CW248" s="2297"/>
      <c r="CX248" s="2297"/>
      <c r="CY248" s="2297"/>
      <c r="CZ248" s="2297"/>
      <c r="DA248" s="2297"/>
      <c r="DB248" s="2297"/>
      <c r="DC248" s="2297"/>
      <c r="DD248" s="2297"/>
      <c r="DE248" s="2297"/>
      <c r="DF248" s="2297"/>
      <c r="DG248" s="2297"/>
      <c r="DH248" s="2297"/>
      <c r="DI248" s="2297"/>
      <c r="DJ248" s="2297"/>
      <c r="DK248" s="2297"/>
      <c r="DL248" s="2297"/>
      <c r="DM248" s="2297"/>
      <c r="DN248" s="2297"/>
      <c r="DO248" s="2297"/>
      <c r="DP248" s="2297"/>
      <c r="DQ248" s="2297"/>
      <c r="DR248" s="2297"/>
      <c r="DS248" s="2297"/>
      <c r="DT248" s="2297"/>
      <c r="DU248" s="2297"/>
      <c r="DV248" s="2297"/>
      <c r="DW248" s="2297"/>
      <c r="DX248" s="2297"/>
      <c r="DY248" s="2297"/>
      <c r="DZ248" s="2297"/>
      <c r="EA248" s="2297"/>
      <c r="EB248" s="2297"/>
      <c r="EC248" s="2297"/>
      <c r="ED248" s="2297"/>
      <c r="EE248" s="2297"/>
      <c r="EF248" s="2297"/>
      <c r="EG248" s="2297"/>
      <c r="EH248" s="2297"/>
      <c r="EI248" s="2297"/>
      <c r="EJ248" s="2297"/>
      <c r="EK248" s="2297"/>
      <c r="EL248" s="2297"/>
      <c r="EM248" s="2297"/>
      <c r="EN248" s="2297"/>
      <c r="EO248" s="2297"/>
      <c r="EP248" s="2297"/>
      <c r="EQ248" s="2297"/>
      <c r="ER248" s="2297"/>
      <c r="ES248" s="2297"/>
      <c r="ET248" s="2297"/>
      <c r="EU248" s="2297"/>
      <c r="EV248" s="2297"/>
      <c r="EW248" s="2297"/>
      <c r="EX248" s="2297"/>
      <c r="EY248" s="2297"/>
      <c r="EZ248" s="2297"/>
      <c r="FA248" s="2297"/>
      <c r="FB248" s="2297"/>
      <c r="FC248" s="2297"/>
      <c r="FD248" s="2297"/>
      <c r="FE248" s="2297"/>
      <c r="FF248" s="2297"/>
      <c r="FG248" s="2297"/>
      <c r="FH248" s="2297"/>
      <c r="FI248" s="2297"/>
      <c r="FJ248" s="2297"/>
      <c r="FK248" s="2297"/>
      <c r="FL248" s="2297"/>
      <c r="FM248" s="2297"/>
      <c r="FN248" s="2297"/>
      <c r="FO248" s="2297"/>
      <c r="FP248" s="2297"/>
      <c r="FQ248" s="2297"/>
      <c r="FR248" s="2297"/>
      <c r="FS248" s="2297"/>
      <c r="FT248" s="2297"/>
      <c r="FU248" s="2297"/>
      <c r="FV248" s="2297"/>
      <c r="FW248" s="2297"/>
      <c r="FX248" s="2297"/>
      <c r="FY248" s="2297"/>
      <c r="FZ248" s="2297"/>
      <c r="GA248" s="2297"/>
      <c r="GB248" s="2297"/>
      <c r="GC248" s="2297"/>
      <c r="GD248" s="2297"/>
      <c r="GE248" s="2297"/>
      <c r="GF248" s="2297"/>
      <c r="GG248" s="2297"/>
      <c r="GH248" s="2297"/>
      <c r="GI248" s="2297"/>
      <c r="GJ248" s="2297"/>
      <c r="GK248" s="2297"/>
      <c r="GL248" s="2297"/>
      <c r="GM248" s="2297"/>
      <c r="GN248" s="2297"/>
      <c r="GO248" s="2297"/>
      <c r="GP248" s="2297"/>
      <c r="GQ248" s="2297"/>
      <c r="GR248" s="2297"/>
      <c r="GS248" s="2297"/>
      <c r="GT248" s="2297"/>
      <c r="GU248" s="2297"/>
      <c r="GV248" s="2297"/>
      <c r="GW248" s="2297"/>
      <c r="GX248" s="2297"/>
      <c r="GY248" s="2297"/>
      <c r="GZ248" s="2297"/>
      <c r="HA248" s="2297"/>
      <c r="HB248" s="2297"/>
      <c r="HC248" s="2297"/>
      <c r="HD248" s="2297"/>
      <c r="HE248" s="2297"/>
      <c r="HF248" s="2297"/>
      <c r="HG248" s="2297"/>
      <c r="HH248" s="2297"/>
      <c r="HI248" s="2297"/>
      <c r="HJ248" s="2297"/>
      <c r="HK248" s="2297"/>
      <c r="HL248" s="2297"/>
      <c r="HM248" s="2297"/>
      <c r="HN248" s="2297"/>
      <c r="HO248" s="2297"/>
      <c r="HP248" s="2297"/>
      <c r="HQ248" s="2297"/>
      <c r="HR248" s="2297"/>
      <c r="HS248" s="2297"/>
      <c r="HT248" s="2297"/>
      <c r="HU248" s="2297"/>
      <c r="HV248" s="2297"/>
      <c r="HW248" s="2297"/>
      <c r="HX248" s="2297"/>
      <c r="HY248" s="2297"/>
      <c r="HZ248" s="2297"/>
      <c r="IA248" s="2297"/>
      <c r="IB248" s="2297"/>
      <c r="IC248" s="2297"/>
      <c r="ID248" s="2297"/>
      <c r="IE248" s="2297"/>
      <c r="IF248" s="2297"/>
      <c r="IG248" s="2297"/>
      <c r="IH248" s="2297"/>
      <c r="II248" s="2297"/>
      <c r="IJ248" s="2297"/>
      <c r="IK248" s="2297"/>
      <c r="IL248" s="2297"/>
      <c r="IM248" s="2297"/>
      <c r="IN248" s="2297"/>
      <c r="IO248" s="2297"/>
      <c r="IP248" s="2297"/>
      <c r="IQ248" s="2297"/>
      <c r="IR248" s="2297"/>
      <c r="IS248" s="2297"/>
      <c r="IT248" s="2297"/>
      <c r="IU248" s="2297"/>
      <c r="IV248" s="2297"/>
    </row>
    <row r="249" spans="3:256">
      <c r="C249" s="2298"/>
      <c r="D249" s="2298"/>
      <c r="E249" s="2298"/>
      <c r="F249" s="2298"/>
      <c r="G249" s="2298"/>
      <c r="H249" s="2298"/>
      <c r="AC249" s="2297"/>
      <c r="AD249" s="2297"/>
      <c r="AE249" s="2297"/>
      <c r="AF249" s="2297"/>
      <c r="AG249" s="2297"/>
      <c r="AH249" s="2297"/>
      <c r="AI249" s="2297"/>
      <c r="AJ249" s="2297"/>
      <c r="AK249" s="2297"/>
      <c r="AL249" s="2297"/>
      <c r="AM249" s="2297"/>
      <c r="AN249" s="2297"/>
      <c r="AO249" s="2297"/>
      <c r="AP249" s="2297"/>
      <c r="AQ249" s="2297"/>
      <c r="AR249" s="2297"/>
      <c r="AS249" s="2297"/>
      <c r="AT249" s="2297"/>
      <c r="AU249" s="2297"/>
      <c r="AV249" s="2297"/>
      <c r="AW249" s="2297"/>
      <c r="AX249" s="2297"/>
      <c r="AY249" s="2297"/>
      <c r="AZ249" s="2297"/>
      <c r="BA249" s="2297"/>
      <c r="BB249" s="2297"/>
      <c r="BC249" s="2297"/>
      <c r="BD249" s="2297"/>
      <c r="BE249" s="2297"/>
      <c r="BF249" s="2297"/>
      <c r="BG249" s="2297"/>
      <c r="BH249" s="2297"/>
      <c r="BI249" s="2297"/>
      <c r="BJ249" s="2297"/>
      <c r="BK249" s="2297"/>
      <c r="BL249" s="2297"/>
      <c r="BM249" s="2297"/>
      <c r="BN249" s="2297"/>
      <c r="BO249" s="2297"/>
      <c r="BP249" s="2297"/>
      <c r="BQ249" s="2297"/>
      <c r="BR249" s="2297"/>
      <c r="BS249" s="2297"/>
      <c r="BT249" s="2297"/>
      <c r="BU249" s="2297"/>
      <c r="BV249" s="2297"/>
      <c r="BW249" s="2297"/>
      <c r="BX249" s="2297"/>
      <c r="BY249" s="2297"/>
      <c r="BZ249" s="2297"/>
      <c r="CA249" s="2297"/>
      <c r="CB249" s="2297"/>
      <c r="CC249" s="2297"/>
      <c r="CD249" s="2297"/>
      <c r="CE249" s="2297"/>
      <c r="CF249" s="2297"/>
      <c r="CG249" s="2297"/>
      <c r="CH249" s="2297"/>
      <c r="CI249" s="2297"/>
      <c r="CJ249" s="2297"/>
      <c r="CK249" s="2297"/>
      <c r="CL249" s="2297"/>
      <c r="CM249" s="2297"/>
      <c r="CN249" s="2297"/>
      <c r="CO249" s="2297"/>
      <c r="CP249" s="2297"/>
      <c r="CQ249" s="2297"/>
      <c r="CR249" s="2297"/>
      <c r="CS249" s="2297"/>
      <c r="CT249" s="2297"/>
      <c r="CU249" s="2297"/>
      <c r="CV249" s="2297"/>
      <c r="CW249" s="2297"/>
      <c r="CX249" s="2297"/>
      <c r="CY249" s="2297"/>
      <c r="CZ249" s="2297"/>
      <c r="DA249" s="2297"/>
      <c r="DB249" s="2297"/>
      <c r="DC249" s="2297"/>
      <c r="DD249" s="2297"/>
      <c r="DE249" s="2297"/>
      <c r="DF249" s="2297"/>
      <c r="DG249" s="2297"/>
      <c r="DH249" s="2297"/>
      <c r="DI249" s="2297"/>
      <c r="DJ249" s="2297"/>
      <c r="DK249" s="2297"/>
      <c r="DL249" s="2297"/>
      <c r="DM249" s="2297"/>
      <c r="DN249" s="2297"/>
      <c r="DO249" s="2297"/>
      <c r="DP249" s="2297"/>
      <c r="DQ249" s="2297"/>
      <c r="DR249" s="2297"/>
      <c r="DS249" s="2297"/>
      <c r="DT249" s="2297"/>
      <c r="DU249" s="2297"/>
      <c r="DV249" s="2297"/>
      <c r="DW249" s="2297"/>
      <c r="DX249" s="2297"/>
      <c r="DY249" s="2297"/>
      <c r="DZ249" s="2297"/>
      <c r="EA249" s="2297"/>
      <c r="EB249" s="2297"/>
      <c r="EC249" s="2297"/>
      <c r="ED249" s="2297"/>
      <c r="EE249" s="2297"/>
      <c r="EF249" s="2297"/>
      <c r="EG249" s="2297"/>
      <c r="EH249" s="2297"/>
      <c r="EI249" s="2297"/>
      <c r="EJ249" s="2297"/>
      <c r="EK249" s="2297"/>
      <c r="EL249" s="2297"/>
      <c r="EM249" s="2297"/>
      <c r="EN249" s="2297"/>
      <c r="EO249" s="2297"/>
      <c r="EP249" s="2297"/>
      <c r="EQ249" s="2297"/>
      <c r="ER249" s="2297"/>
      <c r="ES249" s="2297"/>
      <c r="ET249" s="2297"/>
      <c r="EU249" s="2297"/>
      <c r="EV249" s="2297"/>
      <c r="EW249" s="2297"/>
      <c r="EX249" s="2297"/>
      <c r="EY249" s="2297"/>
      <c r="EZ249" s="2297"/>
      <c r="FA249" s="2297"/>
      <c r="FB249" s="2297"/>
      <c r="FC249" s="2297"/>
      <c r="FD249" s="2297"/>
      <c r="FE249" s="2297"/>
      <c r="FF249" s="2297"/>
      <c r="FG249" s="2297"/>
      <c r="FH249" s="2297"/>
      <c r="FI249" s="2297"/>
      <c r="FJ249" s="2297"/>
      <c r="FK249" s="2297"/>
      <c r="FL249" s="2297"/>
      <c r="FM249" s="2297"/>
      <c r="FN249" s="2297"/>
      <c r="FO249" s="2297"/>
      <c r="FP249" s="2297"/>
      <c r="FQ249" s="2297"/>
      <c r="FR249" s="2297"/>
      <c r="FS249" s="2297"/>
      <c r="FT249" s="2297"/>
      <c r="FU249" s="2297"/>
      <c r="FV249" s="2297"/>
      <c r="FW249" s="2297"/>
      <c r="FX249" s="2297"/>
      <c r="FY249" s="2297"/>
      <c r="FZ249" s="2297"/>
      <c r="GA249" s="2297"/>
      <c r="GB249" s="2297"/>
      <c r="GC249" s="2297"/>
      <c r="GD249" s="2297"/>
      <c r="GE249" s="2297"/>
      <c r="GF249" s="2297"/>
      <c r="GG249" s="2297"/>
      <c r="GH249" s="2297"/>
      <c r="GI249" s="2297"/>
      <c r="GJ249" s="2297"/>
      <c r="GK249" s="2297"/>
      <c r="GL249" s="2297"/>
      <c r="GM249" s="2297"/>
      <c r="GN249" s="2297"/>
      <c r="GO249" s="2297"/>
      <c r="GP249" s="2297"/>
      <c r="GQ249" s="2297"/>
      <c r="GR249" s="2297"/>
      <c r="GS249" s="2297"/>
      <c r="GT249" s="2297"/>
      <c r="GU249" s="2297"/>
      <c r="GV249" s="2297"/>
      <c r="GW249" s="2297"/>
      <c r="GX249" s="2297"/>
      <c r="GY249" s="2297"/>
      <c r="GZ249" s="2297"/>
      <c r="HA249" s="2297"/>
      <c r="HB249" s="2297"/>
      <c r="HC249" s="2297"/>
      <c r="HD249" s="2297"/>
      <c r="HE249" s="2297"/>
      <c r="HF249" s="2297"/>
      <c r="HG249" s="2297"/>
      <c r="HH249" s="2297"/>
      <c r="HI249" s="2297"/>
      <c r="HJ249" s="2297"/>
      <c r="HK249" s="2297"/>
      <c r="HL249" s="2297"/>
      <c r="HM249" s="2297"/>
      <c r="HN249" s="2297"/>
      <c r="HO249" s="2297"/>
      <c r="HP249" s="2297"/>
      <c r="HQ249" s="2297"/>
      <c r="HR249" s="2297"/>
      <c r="HS249" s="2297"/>
      <c r="HT249" s="2297"/>
      <c r="HU249" s="2297"/>
      <c r="HV249" s="2297"/>
      <c r="HW249" s="2297"/>
      <c r="HX249" s="2297"/>
      <c r="HY249" s="2297"/>
      <c r="HZ249" s="2297"/>
      <c r="IA249" s="2297"/>
      <c r="IB249" s="2297"/>
      <c r="IC249" s="2297"/>
      <c r="ID249" s="2297"/>
      <c r="IE249" s="2297"/>
      <c r="IF249" s="2297"/>
      <c r="IG249" s="2297"/>
      <c r="IH249" s="2297"/>
      <c r="II249" s="2297"/>
      <c r="IJ249" s="2297"/>
      <c r="IK249" s="2297"/>
      <c r="IL249" s="2297"/>
      <c r="IM249" s="2297"/>
      <c r="IN249" s="2297"/>
      <c r="IO249" s="2297"/>
      <c r="IP249" s="2297"/>
      <c r="IQ249" s="2297"/>
      <c r="IR249" s="2297"/>
      <c r="IS249" s="2297"/>
      <c r="IT249" s="2297"/>
      <c r="IU249" s="2297"/>
      <c r="IV249" s="2297"/>
    </row>
    <row r="250" spans="3:256">
      <c r="C250" s="2298"/>
      <c r="D250" s="2298"/>
      <c r="E250" s="2298"/>
      <c r="F250" s="2298"/>
      <c r="G250" s="2298"/>
      <c r="H250" s="2298"/>
      <c r="AC250" s="2297"/>
      <c r="AD250" s="2297"/>
      <c r="AE250" s="2297"/>
      <c r="AF250" s="2297"/>
      <c r="AG250" s="2297"/>
      <c r="AH250" s="2297"/>
      <c r="AI250" s="2297"/>
      <c r="AJ250" s="2297"/>
      <c r="AK250" s="2297"/>
      <c r="AL250" s="2297"/>
      <c r="AM250" s="2297"/>
      <c r="AN250" s="2297"/>
      <c r="AO250" s="2297"/>
      <c r="AP250" s="2297"/>
      <c r="AQ250" s="2297"/>
      <c r="AR250" s="2297"/>
      <c r="AS250" s="2297"/>
      <c r="AT250" s="2297"/>
      <c r="AU250" s="2297"/>
      <c r="AV250" s="2297"/>
      <c r="AW250" s="2297"/>
      <c r="AX250" s="2297"/>
      <c r="AY250" s="2297"/>
      <c r="AZ250" s="2297"/>
      <c r="BA250" s="2297"/>
      <c r="BB250" s="2297"/>
      <c r="BC250" s="2297"/>
      <c r="BD250" s="2297"/>
      <c r="BE250" s="2297"/>
      <c r="BF250" s="2297"/>
      <c r="BG250" s="2297"/>
      <c r="BH250" s="2297"/>
      <c r="BI250" s="2297"/>
      <c r="BJ250" s="2297"/>
      <c r="BK250" s="2297"/>
      <c r="BL250" s="2297"/>
      <c r="BM250" s="2297"/>
      <c r="BN250" s="2297"/>
      <c r="BO250" s="2297"/>
      <c r="BP250" s="2297"/>
      <c r="BQ250" s="2297"/>
      <c r="BR250" s="2297"/>
      <c r="BS250" s="2297"/>
      <c r="BT250" s="2297"/>
      <c r="BU250" s="2297"/>
      <c r="BV250" s="2297"/>
      <c r="BW250" s="2297"/>
      <c r="BX250" s="2297"/>
      <c r="BY250" s="2297"/>
      <c r="BZ250" s="2297"/>
      <c r="CA250" s="2297"/>
      <c r="CB250" s="2297"/>
      <c r="CC250" s="2297"/>
      <c r="CD250" s="2297"/>
      <c r="CE250" s="2297"/>
      <c r="CF250" s="2297"/>
      <c r="CG250" s="2297"/>
      <c r="CH250" s="2297"/>
      <c r="CI250" s="2297"/>
      <c r="CJ250" s="2297"/>
      <c r="CK250" s="2297"/>
      <c r="CL250" s="2297"/>
      <c r="CM250" s="2297"/>
      <c r="CN250" s="2297"/>
      <c r="CO250" s="2297"/>
      <c r="CP250" s="2297"/>
      <c r="CQ250" s="2297"/>
      <c r="CR250" s="2297"/>
      <c r="CS250" s="2297"/>
      <c r="CT250" s="2297"/>
      <c r="CU250" s="2297"/>
      <c r="CV250" s="2297"/>
      <c r="CW250" s="2297"/>
      <c r="CX250" s="2297"/>
      <c r="CY250" s="2297"/>
      <c r="CZ250" s="2297"/>
      <c r="DA250" s="2297"/>
      <c r="DB250" s="2297"/>
      <c r="DC250" s="2297"/>
      <c r="DD250" s="2297"/>
      <c r="DE250" s="2297"/>
      <c r="DF250" s="2297"/>
      <c r="DG250" s="2297"/>
      <c r="DH250" s="2297"/>
      <c r="DI250" s="2297"/>
      <c r="DJ250" s="2297"/>
      <c r="DK250" s="2297"/>
      <c r="DL250" s="2297"/>
      <c r="DM250" s="2297"/>
      <c r="DN250" s="2297"/>
      <c r="DO250" s="2297"/>
      <c r="DP250" s="2297"/>
      <c r="DQ250" s="2297"/>
      <c r="DR250" s="2297"/>
      <c r="DS250" s="2297"/>
      <c r="DT250" s="2297"/>
      <c r="DU250" s="2297"/>
      <c r="DV250" s="2297"/>
      <c r="DW250" s="2297"/>
      <c r="DX250" s="2297"/>
      <c r="DY250" s="2297"/>
      <c r="DZ250" s="2297"/>
      <c r="EA250" s="2297"/>
      <c r="EB250" s="2297"/>
      <c r="EC250" s="2297"/>
      <c r="ED250" s="2297"/>
      <c r="EE250" s="2297"/>
      <c r="EF250" s="2297"/>
      <c r="EG250" s="2297"/>
      <c r="EH250" s="2297"/>
      <c r="EI250" s="2297"/>
      <c r="EJ250" s="2297"/>
      <c r="EK250" s="2297"/>
      <c r="EL250" s="2297"/>
      <c r="EM250" s="2297"/>
      <c r="EN250" s="2297"/>
      <c r="EO250" s="2297"/>
      <c r="EP250" s="2297"/>
      <c r="EQ250" s="2297"/>
      <c r="ER250" s="2297"/>
      <c r="ES250" s="2297"/>
      <c r="ET250" s="2297"/>
      <c r="EU250" s="2297"/>
      <c r="EV250" s="2297"/>
      <c r="EW250" s="2297"/>
      <c r="EX250" s="2297"/>
      <c r="EY250" s="2297"/>
      <c r="EZ250" s="2297"/>
      <c r="FA250" s="2297"/>
      <c r="FB250" s="2297"/>
      <c r="FC250" s="2297"/>
      <c r="FD250" s="2297"/>
      <c r="FE250" s="2297"/>
      <c r="FF250" s="2297"/>
      <c r="FG250" s="2297"/>
      <c r="FH250" s="2297"/>
      <c r="FI250" s="2297"/>
      <c r="FJ250" s="2297"/>
      <c r="FK250" s="2297"/>
      <c r="FL250" s="2297"/>
      <c r="FM250" s="2297"/>
      <c r="FN250" s="2297"/>
      <c r="FO250" s="2297"/>
      <c r="FP250" s="2297"/>
      <c r="FQ250" s="2297"/>
      <c r="FR250" s="2297"/>
      <c r="FS250" s="2297"/>
      <c r="FT250" s="2297"/>
      <c r="FU250" s="2297"/>
      <c r="FV250" s="2297"/>
      <c r="FW250" s="2297"/>
      <c r="FX250" s="2297"/>
      <c r="FY250" s="2297"/>
      <c r="FZ250" s="2297"/>
      <c r="GA250" s="2297"/>
      <c r="GB250" s="2297"/>
      <c r="GC250" s="2297"/>
      <c r="GD250" s="2297"/>
      <c r="GE250" s="2297"/>
      <c r="GF250" s="2297"/>
      <c r="GG250" s="2297"/>
      <c r="GH250" s="2297"/>
      <c r="GI250" s="2297"/>
      <c r="GJ250" s="2297"/>
      <c r="GK250" s="2297"/>
      <c r="GL250" s="2297"/>
      <c r="GM250" s="2297"/>
      <c r="GN250" s="2297"/>
      <c r="GO250" s="2297"/>
      <c r="GP250" s="2297"/>
      <c r="GQ250" s="2297"/>
      <c r="GR250" s="2297"/>
      <c r="GS250" s="2297"/>
      <c r="GT250" s="2297"/>
      <c r="GU250" s="2297"/>
      <c r="GV250" s="2297"/>
      <c r="GW250" s="2297"/>
      <c r="GX250" s="2297"/>
      <c r="GY250" s="2297"/>
      <c r="GZ250" s="2297"/>
      <c r="HA250" s="2297"/>
      <c r="HB250" s="2297"/>
      <c r="HC250" s="2297"/>
      <c r="HD250" s="2297"/>
      <c r="HE250" s="2297"/>
      <c r="HF250" s="2297"/>
      <c r="HG250" s="2297"/>
      <c r="HH250" s="2297"/>
      <c r="HI250" s="2297"/>
      <c r="HJ250" s="2297"/>
      <c r="HK250" s="2297"/>
      <c r="HL250" s="2297"/>
      <c r="HM250" s="2297"/>
      <c r="HN250" s="2297"/>
      <c r="HO250" s="2297"/>
      <c r="HP250" s="2297"/>
      <c r="HQ250" s="2297"/>
      <c r="HR250" s="2297"/>
      <c r="HS250" s="2297"/>
      <c r="HT250" s="2297"/>
      <c r="HU250" s="2297"/>
      <c r="HV250" s="2297"/>
      <c r="HW250" s="2297"/>
      <c r="HX250" s="2297"/>
      <c r="HY250" s="2297"/>
      <c r="HZ250" s="2297"/>
      <c r="IA250" s="2297"/>
      <c r="IB250" s="2297"/>
      <c r="IC250" s="2297"/>
      <c r="ID250" s="2297"/>
      <c r="IE250" s="2297"/>
      <c r="IF250" s="2297"/>
      <c r="IG250" s="2297"/>
      <c r="IH250" s="2297"/>
      <c r="II250" s="2297"/>
      <c r="IJ250" s="2297"/>
      <c r="IK250" s="2297"/>
      <c r="IL250" s="2297"/>
      <c r="IM250" s="2297"/>
      <c r="IN250" s="2297"/>
      <c r="IO250" s="2297"/>
      <c r="IP250" s="2297"/>
      <c r="IQ250" s="2297"/>
      <c r="IR250" s="2297"/>
      <c r="IS250" s="2297"/>
      <c r="IT250" s="2297"/>
      <c r="IU250" s="2297"/>
      <c r="IV250" s="2297"/>
    </row>
    <row r="251" spans="3:256">
      <c r="C251" s="2298"/>
      <c r="D251" s="2298"/>
      <c r="E251" s="2298"/>
      <c r="F251" s="2298"/>
      <c r="G251" s="2298"/>
      <c r="H251" s="2298"/>
      <c r="AC251" s="2297"/>
      <c r="AD251" s="2297"/>
      <c r="AE251" s="2297"/>
      <c r="AF251" s="2297"/>
      <c r="AG251" s="2297"/>
      <c r="AH251" s="2297"/>
      <c r="AI251" s="2297"/>
      <c r="AJ251" s="2297"/>
      <c r="AK251" s="2297"/>
      <c r="AL251" s="2297"/>
      <c r="AM251" s="2297"/>
      <c r="AN251" s="2297"/>
      <c r="AO251" s="2297"/>
      <c r="AP251" s="2297"/>
      <c r="AQ251" s="2297"/>
      <c r="AR251" s="2297"/>
      <c r="AS251" s="2297"/>
      <c r="AT251" s="2297"/>
      <c r="AU251" s="2297"/>
      <c r="AV251" s="2297"/>
      <c r="AW251" s="2297"/>
      <c r="AX251" s="2297"/>
      <c r="AY251" s="2297"/>
      <c r="AZ251" s="2297"/>
      <c r="BA251" s="2297"/>
      <c r="BB251" s="2297"/>
      <c r="BC251" s="2297"/>
      <c r="BD251" s="2297"/>
      <c r="BE251" s="2297"/>
      <c r="BF251" s="2297"/>
      <c r="BG251" s="2297"/>
      <c r="BH251" s="2297"/>
      <c r="BI251" s="2297"/>
      <c r="BJ251" s="2297"/>
      <c r="BK251" s="2297"/>
      <c r="BL251" s="2297"/>
      <c r="BM251" s="2297"/>
      <c r="BN251" s="2297"/>
      <c r="BO251" s="2297"/>
      <c r="BP251" s="2297"/>
      <c r="BQ251" s="2297"/>
      <c r="BR251" s="2297"/>
      <c r="BS251" s="2297"/>
      <c r="BT251" s="2297"/>
      <c r="BU251" s="2297"/>
      <c r="BV251" s="2297"/>
      <c r="BW251" s="2297"/>
      <c r="BX251" s="2297"/>
      <c r="BY251" s="2297"/>
      <c r="BZ251" s="2297"/>
      <c r="CA251" s="2297"/>
      <c r="CB251" s="2297"/>
      <c r="CC251" s="2297"/>
      <c r="CD251" s="2297"/>
      <c r="CE251" s="2297"/>
      <c r="CF251" s="2297"/>
      <c r="CG251" s="2297"/>
      <c r="CH251" s="2297"/>
      <c r="CI251" s="2297"/>
      <c r="CJ251" s="2297"/>
      <c r="CK251" s="2297"/>
      <c r="CL251" s="2297"/>
      <c r="CM251" s="2297"/>
      <c r="CN251" s="2297"/>
      <c r="CO251" s="2297"/>
      <c r="CP251" s="2297"/>
      <c r="CQ251" s="2297"/>
      <c r="CR251" s="2297"/>
      <c r="CS251" s="2297"/>
      <c r="CT251" s="2297"/>
      <c r="CU251" s="2297"/>
      <c r="CV251" s="2297"/>
      <c r="CW251" s="2297"/>
      <c r="CX251" s="2297"/>
      <c r="CY251" s="2297"/>
      <c r="CZ251" s="2297"/>
      <c r="DA251" s="2297"/>
      <c r="DB251" s="2297"/>
      <c r="DC251" s="2297"/>
      <c r="DD251" s="2297"/>
      <c r="DE251" s="2297"/>
      <c r="DF251" s="2297"/>
      <c r="DG251" s="2297"/>
      <c r="DH251" s="2297"/>
      <c r="DI251" s="2297"/>
      <c r="DJ251" s="2297"/>
      <c r="DK251" s="2297"/>
      <c r="DL251" s="2297"/>
      <c r="DM251" s="2297"/>
      <c r="DN251" s="2297"/>
      <c r="DO251" s="2297"/>
      <c r="DP251" s="2297"/>
      <c r="DQ251" s="2297"/>
      <c r="DR251" s="2297"/>
      <c r="DS251" s="2297"/>
      <c r="DT251" s="2297"/>
      <c r="DU251" s="2297"/>
      <c r="DV251" s="2297"/>
      <c r="DW251" s="2297"/>
      <c r="DX251" s="2297"/>
      <c r="DY251" s="2297"/>
      <c r="DZ251" s="2297"/>
      <c r="EA251" s="2297"/>
      <c r="EB251" s="2297"/>
      <c r="EC251" s="2297"/>
      <c r="ED251" s="2297"/>
      <c r="EE251" s="2297"/>
      <c r="EF251" s="2297"/>
      <c r="EG251" s="2297"/>
      <c r="EH251" s="2297"/>
      <c r="EI251" s="2297"/>
      <c r="EJ251" s="2297"/>
      <c r="EK251" s="2297"/>
      <c r="EL251" s="2297"/>
      <c r="EM251" s="2297"/>
      <c r="EN251" s="2297"/>
      <c r="EO251" s="2297"/>
      <c r="EP251" s="2297"/>
      <c r="EQ251" s="2297"/>
      <c r="ER251" s="2297"/>
      <c r="ES251" s="2297"/>
      <c r="ET251" s="2297"/>
      <c r="EU251" s="2297"/>
      <c r="EV251" s="2297"/>
      <c r="EW251" s="2297"/>
      <c r="EX251" s="2297"/>
      <c r="EY251" s="2297"/>
      <c r="EZ251" s="2297"/>
      <c r="FA251" s="2297"/>
      <c r="FB251" s="2297"/>
      <c r="FC251" s="2297"/>
      <c r="FD251" s="2297"/>
      <c r="FE251" s="2297"/>
      <c r="FF251" s="2297"/>
      <c r="FG251" s="2297"/>
      <c r="FH251" s="2297"/>
      <c r="FI251" s="2297"/>
      <c r="FJ251" s="2297"/>
      <c r="FK251" s="2297"/>
      <c r="FL251" s="2297"/>
      <c r="FM251" s="2297"/>
      <c r="FN251" s="2297"/>
      <c r="FO251" s="2297"/>
      <c r="FP251" s="2297"/>
      <c r="FQ251" s="2297"/>
      <c r="FR251" s="2297"/>
      <c r="FS251" s="2297"/>
      <c r="FT251" s="2297"/>
      <c r="FU251" s="2297"/>
      <c r="FV251" s="2297"/>
      <c r="FW251" s="2297"/>
      <c r="FX251" s="2297"/>
      <c r="FY251" s="2297"/>
      <c r="FZ251" s="2297"/>
      <c r="GA251" s="2297"/>
      <c r="GB251" s="2297"/>
      <c r="GC251" s="2297"/>
      <c r="GD251" s="2297"/>
      <c r="GE251" s="2297"/>
      <c r="GF251" s="2297"/>
      <c r="GG251" s="2297"/>
      <c r="GH251" s="2297"/>
      <c r="GI251" s="2297"/>
      <c r="GJ251" s="2297"/>
      <c r="GK251" s="2297"/>
      <c r="GL251" s="2297"/>
      <c r="GM251" s="2297"/>
      <c r="GN251" s="2297"/>
      <c r="GO251" s="2297"/>
      <c r="GP251" s="2297"/>
      <c r="GQ251" s="2297"/>
      <c r="GR251" s="2297"/>
      <c r="GS251" s="2297"/>
      <c r="GT251" s="2297"/>
      <c r="GU251" s="2297"/>
      <c r="GV251" s="2297"/>
      <c r="GW251" s="2297"/>
      <c r="GX251" s="2297"/>
      <c r="GY251" s="2297"/>
      <c r="GZ251" s="2297"/>
      <c r="HA251" s="2297"/>
      <c r="HB251" s="2297"/>
      <c r="HC251" s="2297"/>
      <c r="HD251" s="2297"/>
      <c r="HE251" s="2297"/>
      <c r="HF251" s="2297"/>
      <c r="HG251" s="2297"/>
      <c r="HH251" s="2297"/>
      <c r="HI251" s="2297"/>
      <c r="HJ251" s="2297"/>
      <c r="HK251" s="2297"/>
      <c r="HL251" s="2297"/>
      <c r="HM251" s="2297"/>
      <c r="HN251" s="2297"/>
      <c r="HO251" s="2297"/>
      <c r="HP251" s="2297"/>
      <c r="HQ251" s="2297"/>
      <c r="HR251" s="2297"/>
      <c r="HS251" s="2297"/>
      <c r="HT251" s="2297"/>
      <c r="HU251" s="2297"/>
      <c r="HV251" s="2297"/>
      <c r="HW251" s="2297"/>
      <c r="HX251" s="2297"/>
      <c r="HY251" s="2297"/>
      <c r="HZ251" s="2297"/>
      <c r="IA251" s="2297"/>
      <c r="IB251" s="2297"/>
      <c r="IC251" s="2297"/>
      <c r="ID251" s="2297"/>
      <c r="IE251" s="2297"/>
      <c r="IF251" s="2297"/>
      <c r="IG251" s="2297"/>
      <c r="IH251" s="2297"/>
      <c r="II251" s="2297"/>
      <c r="IJ251" s="2297"/>
      <c r="IK251" s="2297"/>
      <c r="IL251" s="2297"/>
      <c r="IM251" s="2297"/>
      <c r="IN251" s="2297"/>
      <c r="IO251" s="2297"/>
      <c r="IP251" s="2297"/>
      <c r="IQ251" s="2297"/>
      <c r="IR251" s="2297"/>
      <c r="IS251" s="2297"/>
      <c r="IT251" s="2297"/>
      <c r="IU251" s="2297"/>
      <c r="IV251" s="2297"/>
    </row>
    <row r="252" spans="3:256">
      <c r="C252" s="2298"/>
      <c r="D252" s="2298"/>
      <c r="E252" s="2298"/>
      <c r="F252" s="2298"/>
      <c r="G252" s="2298"/>
      <c r="H252" s="2298"/>
      <c r="AC252" s="2297"/>
      <c r="AD252" s="2297"/>
      <c r="AE252" s="2297"/>
      <c r="AF252" s="2297"/>
      <c r="AG252" s="2297"/>
      <c r="AH252" s="2297"/>
      <c r="AI252" s="2297"/>
      <c r="AJ252" s="2297"/>
      <c r="AK252" s="2297"/>
      <c r="AL252" s="2297"/>
      <c r="AM252" s="2297"/>
      <c r="AN252" s="2297"/>
      <c r="AO252" s="2297"/>
      <c r="AP252" s="2297"/>
      <c r="AQ252" s="2297"/>
      <c r="AR252" s="2297"/>
      <c r="AS252" s="2297"/>
      <c r="AT252" s="2297"/>
      <c r="AU252" s="2297"/>
      <c r="AV252" s="2297"/>
      <c r="AW252" s="2297"/>
      <c r="AX252" s="2297"/>
      <c r="AY252" s="2297"/>
      <c r="AZ252" s="2297"/>
      <c r="BA252" s="2297"/>
      <c r="BB252" s="2297"/>
      <c r="BC252" s="2297"/>
      <c r="BD252" s="2297"/>
      <c r="BE252" s="2297"/>
      <c r="BF252" s="2297"/>
      <c r="BG252" s="2297"/>
      <c r="BH252" s="2297"/>
      <c r="BI252" s="2297"/>
      <c r="BJ252" s="2297"/>
      <c r="BK252" s="2297"/>
      <c r="BL252" s="2297"/>
      <c r="BM252" s="2297"/>
      <c r="BN252" s="2297"/>
      <c r="BO252" s="2297"/>
      <c r="BP252" s="2297"/>
      <c r="BQ252" s="2297"/>
      <c r="BR252" s="2297"/>
      <c r="BS252" s="2297"/>
      <c r="BT252" s="2297"/>
      <c r="BU252" s="2297"/>
      <c r="BV252" s="2297"/>
      <c r="BW252" s="2297"/>
      <c r="BX252" s="2297"/>
      <c r="BY252" s="2297"/>
      <c r="BZ252" s="2297"/>
      <c r="CA252" s="2297"/>
      <c r="CB252" s="2297"/>
      <c r="CC252" s="2297"/>
      <c r="CD252" s="2297"/>
      <c r="CE252" s="2297"/>
      <c r="CF252" s="2297"/>
      <c r="CG252" s="2297"/>
      <c r="CH252" s="2297"/>
      <c r="CI252" s="2297"/>
      <c r="CJ252" s="2297"/>
      <c r="CK252" s="2297"/>
      <c r="CL252" s="2297"/>
      <c r="CM252" s="2297"/>
      <c r="CN252" s="2297"/>
      <c r="CO252" s="2297"/>
      <c r="CP252" s="2297"/>
      <c r="CQ252" s="2297"/>
      <c r="CR252" s="2297"/>
      <c r="CS252" s="2297"/>
      <c r="CT252" s="2297"/>
      <c r="CU252" s="2297"/>
      <c r="CV252" s="2297"/>
      <c r="CW252" s="2297"/>
      <c r="CX252" s="2297"/>
      <c r="CY252" s="2297"/>
      <c r="CZ252" s="2297"/>
      <c r="DA252" s="2297"/>
      <c r="DB252" s="2297"/>
      <c r="DC252" s="2297"/>
      <c r="DD252" s="2297"/>
      <c r="DE252" s="2297"/>
      <c r="DF252" s="2297"/>
      <c r="DG252" s="2297"/>
      <c r="DH252" s="2297"/>
      <c r="DI252" s="2297"/>
      <c r="DJ252" s="2297"/>
      <c r="DK252" s="2297"/>
      <c r="DL252" s="2297"/>
      <c r="DM252" s="2297"/>
      <c r="DN252" s="2297"/>
      <c r="DO252" s="2297"/>
      <c r="DP252" s="2297"/>
      <c r="DQ252" s="2297"/>
      <c r="DR252" s="2297"/>
      <c r="DS252" s="2297"/>
      <c r="DT252" s="2297"/>
      <c r="DU252" s="2297"/>
      <c r="DV252" s="2297"/>
      <c r="DW252" s="2297"/>
      <c r="DX252" s="2297"/>
      <c r="DY252" s="2297"/>
      <c r="DZ252" s="2297"/>
      <c r="EA252" s="2297"/>
      <c r="EB252" s="2297"/>
      <c r="EC252" s="2297"/>
      <c r="ED252" s="2297"/>
      <c r="EE252" s="2297"/>
      <c r="EF252" s="2297"/>
      <c r="EG252" s="2297"/>
      <c r="EH252" s="2297"/>
      <c r="EI252" s="2297"/>
      <c r="EJ252" s="2297"/>
      <c r="EK252" s="2297"/>
      <c r="EL252" s="2297"/>
      <c r="EM252" s="2297"/>
      <c r="EN252" s="2297"/>
      <c r="EO252" s="2297"/>
      <c r="EP252" s="2297"/>
      <c r="EQ252" s="2297"/>
      <c r="ER252" s="2297"/>
      <c r="ES252" s="2297"/>
      <c r="ET252" s="2297"/>
      <c r="EU252" s="2297"/>
      <c r="EV252" s="2297"/>
      <c r="EW252" s="2297"/>
      <c r="EX252" s="2297"/>
      <c r="EY252" s="2297"/>
      <c r="EZ252" s="2297"/>
      <c r="FA252" s="2297"/>
      <c r="FB252" s="2297"/>
      <c r="FC252" s="2297"/>
      <c r="FD252" s="2297"/>
      <c r="FE252" s="2297"/>
      <c r="FF252" s="2297"/>
      <c r="FG252" s="2297"/>
      <c r="FH252" s="2297"/>
      <c r="FI252" s="2297"/>
      <c r="FJ252" s="2297"/>
      <c r="FK252" s="2297"/>
      <c r="FL252" s="2297"/>
      <c r="FM252" s="2297"/>
      <c r="FN252" s="2297"/>
      <c r="FO252" s="2297"/>
      <c r="FP252" s="2297"/>
      <c r="FQ252" s="2297"/>
      <c r="FR252" s="2297"/>
      <c r="FS252" s="2297"/>
      <c r="FT252" s="2297"/>
      <c r="FU252" s="2297"/>
      <c r="FV252" s="2297"/>
      <c r="FW252" s="2297"/>
      <c r="FX252" s="2297"/>
      <c r="FY252" s="2297"/>
      <c r="FZ252" s="2297"/>
      <c r="GA252" s="2297"/>
      <c r="GB252" s="2297"/>
      <c r="GC252" s="2297"/>
      <c r="GD252" s="2297"/>
      <c r="GE252" s="2297"/>
      <c r="GF252" s="2297"/>
      <c r="GG252" s="2297"/>
      <c r="GH252" s="2297"/>
      <c r="GI252" s="2297"/>
      <c r="GJ252" s="2297"/>
      <c r="GK252" s="2297"/>
      <c r="GL252" s="2297"/>
      <c r="GM252" s="2297"/>
      <c r="GN252" s="2297"/>
      <c r="GO252" s="2297"/>
      <c r="GP252" s="2297"/>
      <c r="GQ252" s="2297"/>
      <c r="GR252" s="2297"/>
      <c r="GS252" s="2297"/>
      <c r="GT252" s="2297"/>
      <c r="GU252" s="2297"/>
      <c r="GV252" s="2297"/>
      <c r="GW252" s="2297"/>
      <c r="GX252" s="2297"/>
      <c r="GY252" s="2297"/>
      <c r="GZ252" s="2297"/>
      <c r="HA252" s="2297"/>
      <c r="HB252" s="2297"/>
      <c r="HC252" s="2297"/>
      <c r="HD252" s="2297"/>
      <c r="HE252" s="2297"/>
      <c r="HF252" s="2297"/>
      <c r="HG252" s="2297"/>
      <c r="HH252" s="2297"/>
      <c r="HI252" s="2297"/>
      <c r="HJ252" s="2297"/>
      <c r="HK252" s="2297"/>
      <c r="HL252" s="2297"/>
      <c r="HM252" s="2297"/>
      <c r="HN252" s="2297"/>
      <c r="HO252" s="2297"/>
      <c r="HP252" s="2297"/>
      <c r="HQ252" s="2297"/>
      <c r="HR252" s="2297"/>
      <c r="HS252" s="2297"/>
      <c r="HT252" s="2297"/>
      <c r="HU252" s="2297"/>
      <c r="HV252" s="2297"/>
      <c r="HW252" s="2297"/>
      <c r="HX252" s="2297"/>
      <c r="HY252" s="2297"/>
      <c r="HZ252" s="2297"/>
      <c r="IA252" s="2297"/>
      <c r="IB252" s="2297"/>
      <c r="IC252" s="2297"/>
      <c r="ID252" s="2297"/>
      <c r="IE252" s="2297"/>
      <c r="IF252" s="2297"/>
      <c r="IG252" s="2297"/>
      <c r="IH252" s="2297"/>
      <c r="II252" s="2297"/>
      <c r="IJ252" s="2297"/>
      <c r="IK252" s="2297"/>
      <c r="IL252" s="2297"/>
      <c r="IM252" s="2297"/>
      <c r="IN252" s="2297"/>
      <c r="IO252" s="2297"/>
      <c r="IP252" s="2297"/>
      <c r="IQ252" s="2297"/>
      <c r="IR252" s="2297"/>
      <c r="IS252" s="2297"/>
      <c r="IT252" s="2297"/>
      <c r="IU252" s="2297"/>
      <c r="IV252" s="2297"/>
    </row>
    <row r="253" spans="3:256">
      <c r="C253" s="2298"/>
      <c r="D253" s="2298"/>
      <c r="E253" s="2298"/>
      <c r="F253" s="2298"/>
      <c r="G253" s="2298"/>
      <c r="H253" s="2298"/>
      <c r="AC253" s="2297"/>
      <c r="AD253" s="2297"/>
      <c r="AE253" s="2297"/>
      <c r="AF253" s="2297"/>
      <c r="AG253" s="2297"/>
      <c r="AH253" s="2297"/>
      <c r="AI253" s="2297"/>
      <c r="AJ253" s="2297"/>
      <c r="AK253" s="2297"/>
      <c r="AL253" s="2297"/>
      <c r="AM253" s="2297"/>
      <c r="AN253" s="2297"/>
      <c r="AO253" s="2297"/>
      <c r="AP253" s="2297"/>
      <c r="AQ253" s="2297"/>
      <c r="AR253" s="2297"/>
      <c r="AS253" s="2297"/>
      <c r="AT253" s="2297"/>
      <c r="AU253" s="2297"/>
      <c r="AV253" s="2297"/>
      <c r="AW253" s="2297"/>
      <c r="AX253" s="2297"/>
      <c r="AY253" s="2297"/>
      <c r="AZ253" s="2297"/>
      <c r="BA253" s="2297"/>
      <c r="BB253" s="2297"/>
      <c r="BC253" s="2297"/>
      <c r="BD253" s="2297"/>
      <c r="BE253" s="2297"/>
      <c r="BF253" s="2297"/>
      <c r="BG253" s="2297"/>
      <c r="BH253" s="2297"/>
      <c r="BI253" s="2297"/>
      <c r="BJ253" s="2297"/>
      <c r="BK253" s="2297"/>
      <c r="BL253" s="2297"/>
      <c r="BM253" s="2297"/>
      <c r="BN253" s="2297"/>
      <c r="BO253" s="2297"/>
      <c r="BP253" s="2297"/>
      <c r="BQ253" s="2297"/>
      <c r="BR253" s="2297"/>
      <c r="BS253" s="2297"/>
      <c r="BT253" s="2297"/>
      <c r="BU253" s="2297"/>
      <c r="BV253" s="2297"/>
      <c r="BW253" s="2297"/>
      <c r="BX253" s="2297"/>
      <c r="BY253" s="2297"/>
      <c r="BZ253" s="2297"/>
      <c r="CA253" s="2297"/>
      <c r="CB253" s="2297"/>
      <c r="CC253" s="2297"/>
      <c r="CD253" s="2297"/>
      <c r="CE253" s="2297"/>
      <c r="CF253" s="2297"/>
      <c r="CG253" s="2297"/>
      <c r="CH253" s="2297"/>
      <c r="CI253" s="2297"/>
      <c r="CJ253" s="2297"/>
      <c r="CK253" s="2297"/>
      <c r="CL253" s="2297"/>
      <c r="CM253" s="2297"/>
      <c r="CN253" s="2297"/>
      <c r="CO253" s="2297"/>
      <c r="CP253" s="2297"/>
      <c r="CQ253" s="2297"/>
      <c r="CR253" s="2297"/>
      <c r="CS253" s="2297"/>
      <c r="CT253" s="2297"/>
      <c r="CU253" s="2297"/>
      <c r="CV253" s="2297"/>
      <c r="CW253" s="2297"/>
      <c r="CX253" s="2297"/>
      <c r="CY253" s="2297"/>
      <c r="CZ253" s="2297"/>
      <c r="DA253" s="2297"/>
      <c r="DB253" s="2297"/>
      <c r="DC253" s="2297"/>
      <c r="DD253" s="2297"/>
      <c r="DE253" s="2297"/>
      <c r="DF253" s="2297"/>
      <c r="DG253" s="2297"/>
      <c r="DH253" s="2297"/>
      <c r="DI253" s="2297"/>
      <c r="DJ253" s="2297"/>
      <c r="DK253" s="2297"/>
      <c r="DL253" s="2297"/>
      <c r="DM253" s="2297"/>
      <c r="DN253" s="2297"/>
      <c r="DO253" s="2297"/>
      <c r="DP253" s="2297"/>
      <c r="DQ253" s="2297"/>
      <c r="DR253" s="2297"/>
      <c r="DS253" s="2297"/>
      <c r="DT253" s="2297"/>
      <c r="DU253" s="2297"/>
      <c r="DV253" s="2297"/>
      <c r="DW253" s="2297"/>
      <c r="DX253" s="2297"/>
      <c r="DY253" s="2297"/>
      <c r="DZ253" s="2297"/>
      <c r="EA253" s="2297"/>
      <c r="EB253" s="2297"/>
      <c r="EC253" s="2297"/>
      <c r="ED253" s="2297"/>
      <c r="EE253" s="2297"/>
      <c r="EF253" s="2297"/>
      <c r="EG253" s="2297"/>
      <c r="EH253" s="2297"/>
      <c r="EI253" s="2297"/>
      <c r="EJ253" s="2297"/>
      <c r="EK253" s="2297"/>
      <c r="EL253" s="2297"/>
      <c r="EM253" s="2297"/>
      <c r="EN253" s="2297"/>
      <c r="EO253" s="2297"/>
      <c r="EP253" s="2297"/>
      <c r="EQ253" s="2297"/>
      <c r="ER253" s="2297"/>
      <c r="ES253" s="2297"/>
      <c r="ET253" s="2297"/>
      <c r="EU253" s="2297"/>
      <c r="EV253" s="2297"/>
      <c r="EW253" s="2297"/>
      <c r="EX253" s="2297"/>
      <c r="EY253" s="2297"/>
      <c r="EZ253" s="2297"/>
      <c r="FA253" s="2297"/>
      <c r="FB253" s="2297"/>
      <c r="FC253" s="2297"/>
      <c r="FD253" s="2297"/>
      <c r="FE253" s="2297"/>
      <c r="FF253" s="2297"/>
      <c r="FG253" s="2297"/>
      <c r="FH253" s="2297"/>
      <c r="FI253" s="2297"/>
      <c r="FJ253" s="2297"/>
      <c r="FK253" s="2297"/>
      <c r="FL253" s="2297"/>
      <c r="FM253" s="2297"/>
      <c r="FN253" s="2297"/>
      <c r="FO253" s="2297"/>
      <c r="FP253" s="2297"/>
      <c r="FQ253" s="2297"/>
      <c r="FR253" s="2297"/>
      <c r="FS253" s="2297"/>
      <c r="FT253" s="2297"/>
      <c r="FU253" s="2297"/>
      <c r="FV253" s="2297"/>
      <c r="FW253" s="2297"/>
      <c r="FX253" s="2297"/>
      <c r="FY253" s="2297"/>
      <c r="FZ253" s="2297"/>
      <c r="GA253" s="2297"/>
      <c r="GB253" s="2297"/>
      <c r="GC253" s="2297"/>
      <c r="GD253" s="2297"/>
      <c r="GE253" s="2297"/>
      <c r="GF253" s="2297"/>
      <c r="GG253" s="2297"/>
      <c r="GH253" s="2297"/>
      <c r="GI253" s="2297"/>
      <c r="GJ253" s="2297"/>
      <c r="GK253" s="2297"/>
      <c r="GL253" s="2297"/>
      <c r="GM253" s="2297"/>
      <c r="GN253" s="2297"/>
      <c r="GO253" s="2297"/>
      <c r="GP253" s="2297"/>
      <c r="GQ253" s="2297"/>
      <c r="GR253" s="2297"/>
      <c r="GS253" s="2297"/>
      <c r="GT253" s="2297"/>
      <c r="GU253" s="2297"/>
      <c r="GV253" s="2297"/>
      <c r="GW253" s="2297"/>
      <c r="GX253" s="2297"/>
      <c r="GY253" s="2297"/>
      <c r="GZ253" s="2297"/>
      <c r="HA253" s="2297"/>
      <c r="HB253" s="2297"/>
      <c r="HC253" s="2297"/>
      <c r="HD253" s="2297"/>
      <c r="HE253" s="2297"/>
      <c r="HF253" s="2297"/>
      <c r="HG253" s="2297"/>
      <c r="HH253" s="2297"/>
      <c r="HI253" s="2297"/>
      <c r="HJ253" s="2297"/>
      <c r="HK253" s="2297"/>
      <c r="HL253" s="2297"/>
      <c r="HM253" s="2297"/>
      <c r="HN253" s="2297"/>
      <c r="HO253" s="2297"/>
      <c r="HP253" s="2297"/>
      <c r="HQ253" s="2297"/>
      <c r="HR253" s="2297"/>
      <c r="HS253" s="2297"/>
      <c r="HT253" s="2297"/>
      <c r="HU253" s="2297"/>
      <c r="HV253" s="2297"/>
      <c r="HW253" s="2297"/>
      <c r="HX253" s="2297"/>
      <c r="HY253" s="2297"/>
      <c r="HZ253" s="2297"/>
      <c r="IA253" s="2297"/>
      <c r="IB253" s="2297"/>
      <c r="IC253" s="2297"/>
      <c r="ID253" s="2297"/>
      <c r="IE253" s="2297"/>
      <c r="IF253" s="2297"/>
      <c r="IG253" s="2297"/>
      <c r="IH253" s="2297"/>
      <c r="II253" s="2297"/>
      <c r="IJ253" s="2297"/>
      <c r="IK253" s="2297"/>
      <c r="IL253" s="2297"/>
      <c r="IM253" s="2297"/>
      <c r="IN253" s="2297"/>
      <c r="IO253" s="2297"/>
      <c r="IP253" s="2297"/>
      <c r="IQ253" s="2297"/>
      <c r="IR253" s="2297"/>
      <c r="IS253" s="2297"/>
      <c r="IT253" s="2297"/>
      <c r="IU253" s="2297"/>
      <c r="IV253" s="2297"/>
    </row>
    <row r="254" spans="3:256">
      <c r="C254" s="2298"/>
      <c r="D254" s="2298"/>
      <c r="E254" s="2298"/>
      <c r="F254" s="2298"/>
      <c r="G254" s="2298"/>
      <c r="H254" s="2298"/>
      <c r="AC254" s="2297"/>
      <c r="AD254" s="2297"/>
      <c r="AE254" s="2297"/>
      <c r="AF254" s="2297"/>
      <c r="AG254" s="2297"/>
      <c r="AH254" s="2297"/>
      <c r="AI254" s="2297"/>
      <c r="AJ254" s="2297"/>
      <c r="AK254" s="2297"/>
      <c r="AL254" s="2297"/>
      <c r="AM254" s="2297"/>
      <c r="AN254" s="2297"/>
      <c r="AO254" s="2297"/>
      <c r="AP254" s="2297"/>
      <c r="AQ254" s="2297"/>
      <c r="AR254" s="2297"/>
      <c r="AS254" s="2297"/>
      <c r="AT254" s="2297"/>
      <c r="AU254" s="2297"/>
      <c r="AV254" s="2297"/>
      <c r="AW254" s="2297"/>
      <c r="AX254" s="2297"/>
      <c r="AY254" s="2297"/>
      <c r="AZ254" s="2297"/>
      <c r="BA254" s="2297"/>
      <c r="BB254" s="2297"/>
      <c r="BC254" s="2297"/>
      <c r="BD254" s="2297"/>
      <c r="BE254" s="2297"/>
      <c r="BF254" s="2297"/>
      <c r="BG254" s="2297"/>
      <c r="BH254" s="2297"/>
      <c r="BI254" s="2297"/>
      <c r="BJ254" s="2297"/>
      <c r="BK254" s="2297"/>
      <c r="BL254" s="2297"/>
      <c r="BM254" s="2297"/>
      <c r="BN254" s="2297"/>
      <c r="BO254" s="2297"/>
      <c r="BP254" s="2297"/>
      <c r="BQ254" s="2297"/>
      <c r="BR254" s="2297"/>
      <c r="BS254" s="2297"/>
      <c r="BT254" s="2297"/>
      <c r="BU254" s="2297"/>
      <c r="BV254" s="2297"/>
      <c r="BW254" s="2297"/>
      <c r="BX254" s="2297"/>
      <c r="BY254" s="2297"/>
      <c r="BZ254" s="2297"/>
      <c r="CA254" s="2297"/>
      <c r="CB254" s="2297"/>
      <c r="CC254" s="2297"/>
      <c r="CD254" s="2297"/>
      <c r="CE254" s="2297"/>
      <c r="CF254" s="2297"/>
      <c r="CG254" s="2297"/>
      <c r="CH254" s="2297"/>
      <c r="CI254" s="2297"/>
      <c r="CJ254" s="2297"/>
      <c r="CK254" s="2297"/>
      <c r="CL254" s="2297"/>
      <c r="CM254" s="2297"/>
      <c r="CN254" s="2297"/>
      <c r="CO254" s="2297"/>
      <c r="CP254" s="2297"/>
      <c r="CQ254" s="2297"/>
      <c r="CR254" s="2297"/>
      <c r="CS254" s="2297"/>
      <c r="CT254" s="2297"/>
      <c r="CU254" s="2297"/>
      <c r="CV254" s="2297"/>
      <c r="CW254" s="2297"/>
      <c r="CX254" s="2297"/>
      <c r="CY254" s="2297"/>
      <c r="CZ254" s="2297"/>
      <c r="DA254" s="2297"/>
      <c r="DB254" s="2297"/>
      <c r="DC254" s="2297"/>
      <c r="DD254" s="2297"/>
      <c r="DE254" s="2297"/>
      <c r="DF254" s="2297"/>
      <c r="DG254" s="2297"/>
      <c r="DH254" s="2297"/>
      <c r="DI254" s="2297"/>
      <c r="DJ254" s="2297"/>
      <c r="DK254" s="2297"/>
      <c r="DL254" s="2297"/>
      <c r="DM254" s="2297"/>
      <c r="DN254" s="2297"/>
      <c r="DO254" s="2297"/>
      <c r="DP254" s="2297"/>
      <c r="DQ254" s="2297"/>
      <c r="DR254" s="2297"/>
      <c r="DS254" s="2297"/>
      <c r="DT254" s="2297"/>
      <c r="DU254" s="2297"/>
      <c r="DV254" s="2297"/>
      <c r="DW254" s="2297"/>
      <c r="DX254" s="2297"/>
      <c r="DY254" s="2297"/>
      <c r="DZ254" s="2297"/>
      <c r="EA254" s="2297"/>
      <c r="EB254" s="2297"/>
      <c r="EC254" s="2297"/>
      <c r="ED254" s="2297"/>
      <c r="EE254" s="2297"/>
      <c r="EF254" s="2297"/>
      <c r="EG254" s="2297"/>
      <c r="EH254" s="2297"/>
      <c r="EI254" s="2297"/>
      <c r="EJ254" s="2297"/>
      <c r="EK254" s="2297"/>
      <c r="EL254" s="2297"/>
      <c r="EM254" s="2297"/>
      <c r="EN254" s="2297"/>
      <c r="EO254" s="2297"/>
      <c r="EP254" s="2297"/>
      <c r="EQ254" s="2297"/>
      <c r="ER254" s="2297"/>
      <c r="ES254" s="2297"/>
      <c r="ET254" s="2297"/>
      <c r="EU254" s="2297"/>
      <c r="EV254" s="2297"/>
      <c r="EW254" s="2297"/>
      <c r="EX254" s="2297"/>
      <c r="EY254" s="2297"/>
      <c r="EZ254" s="2297"/>
      <c r="FA254" s="2297"/>
      <c r="FB254" s="2297"/>
      <c r="FC254" s="2297"/>
      <c r="FD254" s="2297"/>
      <c r="FE254" s="2297"/>
      <c r="FF254" s="2297"/>
      <c r="FG254" s="2297"/>
      <c r="FH254" s="2297"/>
      <c r="FI254" s="2297"/>
      <c r="FJ254" s="2297"/>
      <c r="FK254" s="2297"/>
      <c r="FL254" s="2297"/>
      <c r="FM254" s="2297"/>
      <c r="FN254" s="2297"/>
      <c r="FO254" s="2297"/>
      <c r="FP254" s="2297"/>
      <c r="FQ254" s="2297"/>
      <c r="FR254" s="2297"/>
      <c r="FS254" s="2297"/>
      <c r="FT254" s="2297"/>
      <c r="FU254" s="2297"/>
      <c r="FV254" s="2297"/>
      <c r="FW254" s="2297"/>
      <c r="FX254" s="2297"/>
      <c r="FY254" s="2297"/>
      <c r="FZ254" s="2297"/>
      <c r="GA254" s="2297"/>
      <c r="GB254" s="2297"/>
      <c r="GC254" s="2297"/>
      <c r="GD254" s="2297"/>
      <c r="GE254" s="2297"/>
      <c r="GF254" s="2297"/>
      <c r="GG254" s="2297"/>
      <c r="GH254" s="2297"/>
      <c r="GI254" s="2297"/>
      <c r="GJ254" s="2297"/>
      <c r="GK254" s="2297"/>
      <c r="GL254" s="2297"/>
      <c r="GM254" s="2297"/>
      <c r="GN254" s="2297"/>
      <c r="GO254" s="2297"/>
      <c r="GP254" s="2297"/>
      <c r="GQ254" s="2297"/>
      <c r="GR254" s="2297"/>
      <c r="GS254" s="2297"/>
      <c r="GT254" s="2297"/>
      <c r="GU254" s="2297"/>
      <c r="GV254" s="2297"/>
      <c r="GW254" s="2297"/>
      <c r="GX254" s="2297"/>
      <c r="GY254" s="2297"/>
      <c r="GZ254" s="2297"/>
      <c r="HA254" s="2297"/>
      <c r="HB254" s="2297"/>
      <c r="HC254" s="2297"/>
      <c r="HD254" s="2297"/>
      <c r="HE254" s="2297"/>
      <c r="HF254" s="2297"/>
      <c r="HG254" s="2297"/>
      <c r="HH254" s="2297"/>
      <c r="HI254" s="2297"/>
      <c r="HJ254" s="2297"/>
      <c r="HK254" s="2297"/>
      <c r="HL254" s="2297"/>
      <c r="HM254" s="2297"/>
      <c r="HN254" s="2297"/>
      <c r="HO254" s="2297"/>
      <c r="HP254" s="2297"/>
      <c r="HQ254" s="2297"/>
      <c r="HR254" s="2297"/>
      <c r="HS254" s="2297"/>
      <c r="HT254" s="2297"/>
      <c r="HU254" s="2297"/>
      <c r="HV254" s="2297"/>
      <c r="HW254" s="2297"/>
      <c r="HX254" s="2297"/>
      <c r="HY254" s="2297"/>
      <c r="HZ254" s="2297"/>
      <c r="IA254" s="2297"/>
      <c r="IB254" s="2297"/>
      <c r="IC254" s="2297"/>
      <c r="ID254" s="2297"/>
      <c r="IE254" s="2297"/>
      <c r="IF254" s="2297"/>
      <c r="IG254" s="2297"/>
      <c r="IH254" s="2297"/>
      <c r="II254" s="2297"/>
      <c r="IJ254" s="2297"/>
      <c r="IK254" s="2297"/>
      <c r="IL254" s="2297"/>
      <c r="IM254" s="2297"/>
      <c r="IN254" s="2297"/>
      <c r="IO254" s="2297"/>
      <c r="IP254" s="2297"/>
      <c r="IQ254" s="2297"/>
      <c r="IR254" s="2297"/>
      <c r="IS254" s="2297"/>
      <c r="IT254" s="2297"/>
      <c r="IU254" s="2297"/>
      <c r="IV254" s="2297"/>
    </row>
    <row r="255" spans="3:256">
      <c r="C255" s="2298"/>
      <c r="D255" s="2298"/>
      <c r="E255" s="2298"/>
      <c r="F255" s="2298"/>
      <c r="G255" s="2298"/>
      <c r="H255" s="2298"/>
      <c r="AC255" s="2297"/>
      <c r="AD255" s="2297"/>
      <c r="AE255" s="2297"/>
      <c r="AF255" s="2297"/>
      <c r="AG255" s="2297"/>
      <c r="AH255" s="2297"/>
      <c r="AI255" s="2297"/>
      <c r="AJ255" s="2297"/>
      <c r="AK255" s="2297"/>
      <c r="AL255" s="2297"/>
      <c r="AM255" s="2297"/>
      <c r="AN255" s="2297"/>
      <c r="AO255" s="2297"/>
      <c r="AP255" s="2297"/>
      <c r="AQ255" s="2297"/>
      <c r="AR255" s="2297"/>
      <c r="AS255" s="2297"/>
      <c r="AT255" s="2297"/>
      <c r="AU255" s="2297"/>
      <c r="AV255" s="2297"/>
      <c r="AW255" s="2297"/>
      <c r="AX255" s="2297"/>
      <c r="AY255" s="2297"/>
      <c r="AZ255" s="2297"/>
      <c r="BA255" s="2297"/>
      <c r="BB255" s="2297"/>
      <c r="BC255" s="2297"/>
      <c r="BD255" s="2297"/>
      <c r="BE255" s="2297"/>
      <c r="BF255" s="2297"/>
      <c r="BG255" s="2297"/>
      <c r="BH255" s="2297"/>
      <c r="BI255" s="2297"/>
      <c r="BJ255" s="2297"/>
      <c r="BK255" s="2297"/>
      <c r="BL255" s="2297"/>
      <c r="BM255" s="2297"/>
      <c r="BN255" s="2297"/>
      <c r="BO255" s="2297"/>
      <c r="BP255" s="2297"/>
      <c r="BQ255" s="2297"/>
      <c r="BR255" s="2297"/>
      <c r="BS255" s="2297"/>
      <c r="BT255" s="2297"/>
      <c r="BU255" s="2297"/>
      <c r="BV255" s="2297"/>
      <c r="BW255" s="2297"/>
      <c r="BX255" s="2297"/>
      <c r="BY255" s="2297"/>
      <c r="BZ255" s="2297"/>
      <c r="CA255" s="2297"/>
      <c r="CB255" s="2297"/>
      <c r="CC255" s="2297"/>
      <c r="CD255" s="2297"/>
      <c r="CE255" s="2297"/>
      <c r="CF255" s="2297"/>
      <c r="CG255" s="2297"/>
      <c r="CH255" s="2297"/>
      <c r="CI255" s="2297"/>
      <c r="CJ255" s="2297"/>
      <c r="CK255" s="2297"/>
      <c r="CL255" s="2297"/>
      <c r="CM255" s="2297"/>
      <c r="CN255" s="2297"/>
      <c r="CO255" s="2297"/>
      <c r="CP255" s="2297"/>
      <c r="CQ255" s="2297"/>
      <c r="CR255" s="2297"/>
      <c r="CS255" s="2297"/>
      <c r="CT255" s="2297"/>
      <c r="CU255" s="2297"/>
      <c r="CV255" s="2297"/>
      <c r="CW255" s="2297"/>
      <c r="CX255" s="2297"/>
      <c r="CY255" s="2297"/>
      <c r="CZ255" s="2297"/>
      <c r="DA255" s="2297"/>
      <c r="DB255" s="2297"/>
      <c r="DC255" s="2297"/>
      <c r="DD255" s="2297"/>
      <c r="DE255" s="2297"/>
      <c r="DF255" s="2297"/>
      <c r="DG255" s="2297"/>
      <c r="DH255" s="2297"/>
      <c r="DI255" s="2297"/>
      <c r="DJ255" s="2297"/>
      <c r="DK255" s="2297"/>
      <c r="DL255" s="2297"/>
      <c r="DM255" s="2297"/>
      <c r="DN255" s="2297"/>
      <c r="DO255" s="2297"/>
      <c r="DP255" s="2297"/>
      <c r="DQ255" s="2297"/>
      <c r="DR255" s="2297"/>
      <c r="DS255" s="2297"/>
      <c r="DT255" s="2297"/>
      <c r="DU255" s="2297"/>
      <c r="DV255" s="2297"/>
      <c r="DW255" s="2297"/>
      <c r="DX255" s="2297"/>
      <c r="DY255" s="2297"/>
      <c r="DZ255" s="2297"/>
      <c r="EA255" s="2297"/>
      <c r="EB255" s="2297"/>
      <c r="EC255" s="2297"/>
      <c r="ED255" s="2297"/>
      <c r="EE255" s="2297"/>
      <c r="EF255" s="2297"/>
      <c r="EG255" s="2297"/>
      <c r="EH255" s="2297"/>
      <c r="EI255" s="2297"/>
      <c r="EJ255" s="2297"/>
      <c r="EK255" s="2297"/>
      <c r="EL255" s="2297"/>
      <c r="EM255" s="2297"/>
      <c r="EN255" s="2297"/>
      <c r="EO255" s="2297"/>
      <c r="EP255" s="2297"/>
      <c r="EQ255" s="2297"/>
      <c r="ER255" s="2297"/>
      <c r="ES255" s="2297"/>
      <c r="ET255" s="2297"/>
      <c r="EU255" s="2297"/>
      <c r="EV255" s="2297"/>
      <c r="EW255" s="2297"/>
      <c r="EX255" s="2297"/>
      <c r="EY255" s="2297"/>
      <c r="EZ255" s="2297"/>
      <c r="FA255" s="2297"/>
      <c r="FB255" s="2297"/>
      <c r="FC255" s="2297"/>
      <c r="FD255" s="2297"/>
      <c r="FE255" s="2297"/>
      <c r="FF255" s="2297"/>
      <c r="FG255" s="2297"/>
      <c r="FH255" s="2297"/>
      <c r="FI255" s="2297"/>
      <c r="FJ255" s="2297"/>
      <c r="FK255" s="2297"/>
      <c r="FL255" s="2297"/>
      <c r="FM255" s="2297"/>
      <c r="FN255" s="2297"/>
      <c r="FO255" s="2297"/>
      <c r="FP255" s="2297"/>
      <c r="FQ255" s="2297"/>
      <c r="FR255" s="2297"/>
      <c r="FS255" s="2297"/>
      <c r="FT255" s="2297"/>
      <c r="FU255" s="2297"/>
      <c r="FV255" s="2297"/>
      <c r="FW255" s="2297"/>
      <c r="FX255" s="2297"/>
      <c r="FY255" s="2297"/>
      <c r="FZ255" s="2297"/>
      <c r="GA255" s="2297"/>
      <c r="GB255" s="2297"/>
      <c r="GC255" s="2297"/>
      <c r="GD255" s="2297"/>
      <c r="GE255" s="2297"/>
      <c r="GF255" s="2297"/>
      <c r="GG255" s="2297"/>
      <c r="GH255" s="2297"/>
      <c r="GI255" s="2297"/>
      <c r="GJ255" s="2297"/>
      <c r="GK255" s="2297"/>
      <c r="GL255" s="2297"/>
      <c r="GM255" s="2297"/>
      <c r="GN255" s="2297"/>
      <c r="GO255" s="2297"/>
      <c r="GP255" s="2297"/>
      <c r="GQ255" s="2297"/>
      <c r="GR255" s="2297"/>
      <c r="GS255" s="2297"/>
      <c r="GT255" s="2297"/>
      <c r="GU255" s="2297"/>
      <c r="GV255" s="2297"/>
      <c r="GW255" s="2297"/>
      <c r="GX255" s="2297"/>
      <c r="GY255" s="2297"/>
      <c r="GZ255" s="2297"/>
      <c r="HA255" s="2297"/>
      <c r="HB255" s="2297"/>
      <c r="HC255" s="2297"/>
      <c r="HD255" s="2297"/>
      <c r="HE255" s="2297"/>
      <c r="HF255" s="2297"/>
      <c r="HG255" s="2297"/>
      <c r="HH255" s="2297"/>
      <c r="HI255" s="2297"/>
      <c r="HJ255" s="2297"/>
      <c r="HK255" s="2297"/>
      <c r="HL255" s="2297"/>
      <c r="HM255" s="2297"/>
      <c r="HN255" s="2297"/>
      <c r="HO255" s="2297"/>
      <c r="HP255" s="2297"/>
      <c r="HQ255" s="2297"/>
      <c r="HR255" s="2297"/>
      <c r="HS255" s="2297"/>
      <c r="HT255" s="2297"/>
      <c r="HU255" s="2297"/>
      <c r="HV255" s="2297"/>
      <c r="HW255" s="2297"/>
      <c r="HX255" s="2297"/>
      <c r="HY255" s="2297"/>
      <c r="HZ255" s="2297"/>
      <c r="IA255" s="2297"/>
      <c r="IB255" s="2297"/>
      <c r="IC255" s="2297"/>
      <c r="ID255" s="2297"/>
      <c r="IE255" s="2297"/>
      <c r="IF255" s="2297"/>
      <c r="IG255" s="2297"/>
      <c r="IH255" s="2297"/>
      <c r="II255" s="2297"/>
      <c r="IJ255" s="2297"/>
      <c r="IK255" s="2297"/>
      <c r="IL255" s="2297"/>
      <c r="IM255" s="2297"/>
      <c r="IN255" s="2297"/>
      <c r="IO255" s="2297"/>
      <c r="IP255" s="2297"/>
      <c r="IQ255" s="2297"/>
      <c r="IR255" s="2297"/>
      <c r="IS255" s="2297"/>
      <c r="IT255" s="2297"/>
      <c r="IU255" s="2297"/>
      <c r="IV255" s="2297"/>
    </row>
    <row r="256" spans="3:256">
      <c r="C256" s="2298"/>
      <c r="D256" s="2298"/>
      <c r="E256" s="2298"/>
      <c r="F256" s="2298"/>
      <c r="G256" s="2298"/>
      <c r="H256" s="2298"/>
      <c r="AC256" s="2297"/>
      <c r="AD256" s="2297"/>
      <c r="AE256" s="2297"/>
      <c r="AF256" s="2297"/>
      <c r="AG256" s="2297"/>
      <c r="AH256" s="2297"/>
      <c r="AI256" s="2297"/>
      <c r="AJ256" s="2297"/>
      <c r="AK256" s="2297"/>
      <c r="AL256" s="2297"/>
      <c r="AM256" s="2297"/>
      <c r="AN256" s="2297"/>
      <c r="AO256" s="2297"/>
      <c r="AP256" s="2297"/>
      <c r="AQ256" s="2297"/>
      <c r="AR256" s="2297"/>
      <c r="AS256" s="2297"/>
      <c r="AT256" s="2297"/>
      <c r="AU256" s="2297"/>
      <c r="AV256" s="2297"/>
      <c r="AW256" s="2297"/>
      <c r="AX256" s="2297"/>
      <c r="AY256" s="2297"/>
      <c r="AZ256" s="2297"/>
      <c r="BA256" s="2297"/>
      <c r="BB256" s="2297"/>
      <c r="BC256" s="2297"/>
      <c r="BD256" s="2297"/>
      <c r="BE256" s="2297"/>
      <c r="BF256" s="2297"/>
      <c r="BG256" s="2297"/>
      <c r="BH256" s="2297"/>
      <c r="BI256" s="2297"/>
      <c r="BJ256" s="2297"/>
      <c r="BK256" s="2297"/>
      <c r="BL256" s="2297"/>
      <c r="BM256" s="2297"/>
      <c r="BN256" s="2297"/>
      <c r="BO256" s="2297"/>
      <c r="BP256" s="2297"/>
      <c r="BQ256" s="2297"/>
      <c r="BR256" s="2297"/>
      <c r="BS256" s="2297"/>
      <c r="BT256" s="2297"/>
      <c r="BU256" s="2297"/>
      <c r="BV256" s="2297"/>
      <c r="BW256" s="2297"/>
      <c r="BX256" s="2297"/>
      <c r="BY256" s="2297"/>
      <c r="BZ256" s="2297"/>
      <c r="CA256" s="2297"/>
      <c r="CB256" s="2297"/>
      <c r="CC256" s="2297"/>
      <c r="CD256" s="2297"/>
      <c r="CE256" s="2297"/>
      <c r="CF256" s="2297"/>
      <c r="CG256" s="2297"/>
      <c r="CH256" s="2297"/>
      <c r="CI256" s="2297"/>
      <c r="CJ256" s="2297"/>
      <c r="CK256" s="2297"/>
      <c r="CL256" s="2297"/>
      <c r="CM256" s="2297"/>
      <c r="CN256" s="2297"/>
      <c r="CO256" s="2297"/>
      <c r="CP256" s="2297"/>
      <c r="CQ256" s="2297"/>
      <c r="CR256" s="2297"/>
      <c r="CS256" s="2297"/>
      <c r="CT256" s="2297"/>
      <c r="CU256" s="2297"/>
      <c r="CV256" s="2297"/>
      <c r="CW256" s="2297"/>
      <c r="CX256" s="2297"/>
      <c r="CY256" s="2297"/>
      <c r="CZ256" s="2297"/>
      <c r="DA256" s="2297"/>
      <c r="DB256" s="2297"/>
      <c r="DC256" s="2297"/>
      <c r="DD256" s="2297"/>
      <c r="DE256" s="2297"/>
      <c r="DF256" s="2297"/>
      <c r="DG256" s="2297"/>
      <c r="DH256" s="2297"/>
      <c r="DI256" s="2297"/>
      <c r="DJ256" s="2297"/>
      <c r="DK256" s="2297"/>
      <c r="DL256" s="2297"/>
      <c r="DM256" s="2297"/>
      <c r="DN256" s="2297"/>
      <c r="DO256" s="2297"/>
      <c r="DP256" s="2297"/>
      <c r="DQ256" s="2297"/>
      <c r="DR256" s="2297"/>
      <c r="DS256" s="2297"/>
      <c r="DT256" s="2297"/>
      <c r="DU256" s="2297"/>
      <c r="DV256" s="2297"/>
      <c r="DW256" s="2297"/>
      <c r="DX256" s="2297"/>
      <c r="DY256" s="2297"/>
      <c r="DZ256" s="2297"/>
      <c r="EA256" s="2297"/>
      <c r="EB256" s="2297"/>
      <c r="EC256" s="2297"/>
      <c r="ED256" s="2297"/>
      <c r="EE256" s="2297"/>
      <c r="EF256" s="2297"/>
      <c r="EG256" s="2297"/>
      <c r="EH256" s="2297"/>
      <c r="EI256" s="2297"/>
      <c r="EJ256" s="2297"/>
      <c r="EK256" s="2297"/>
      <c r="EL256" s="2297"/>
      <c r="EM256" s="2297"/>
      <c r="EN256" s="2297"/>
      <c r="EO256" s="2297"/>
      <c r="EP256" s="2297"/>
      <c r="EQ256" s="2297"/>
      <c r="ER256" s="2297"/>
      <c r="ES256" s="2297"/>
      <c r="ET256" s="2297"/>
      <c r="EU256" s="2297"/>
      <c r="EV256" s="2297"/>
      <c r="EW256" s="2297"/>
      <c r="EX256" s="2297"/>
      <c r="EY256" s="2297"/>
      <c r="EZ256" s="2297"/>
      <c r="FA256" s="2297"/>
      <c r="FB256" s="2297"/>
      <c r="FC256" s="2297"/>
      <c r="FD256" s="2297"/>
      <c r="FE256" s="2297"/>
      <c r="FF256" s="2297"/>
      <c r="FG256" s="2297"/>
      <c r="FH256" s="2297"/>
      <c r="FI256" s="2297"/>
      <c r="FJ256" s="2297"/>
      <c r="FK256" s="2297"/>
      <c r="FL256" s="2297"/>
      <c r="FM256" s="2297"/>
      <c r="FN256" s="2297"/>
      <c r="FO256" s="2297"/>
      <c r="FP256" s="2297"/>
      <c r="FQ256" s="2297"/>
      <c r="FR256" s="2297"/>
      <c r="FS256" s="2297"/>
      <c r="FT256" s="2297"/>
      <c r="FU256" s="2297"/>
      <c r="FV256" s="2297"/>
      <c r="FW256" s="2297"/>
      <c r="FX256" s="2297"/>
      <c r="FY256" s="2297"/>
      <c r="FZ256" s="2297"/>
      <c r="GA256" s="2297"/>
      <c r="GB256" s="2297"/>
      <c r="GC256" s="2297"/>
      <c r="GD256" s="2297"/>
      <c r="GE256" s="2297"/>
      <c r="GF256" s="2297"/>
      <c r="GG256" s="2297"/>
      <c r="GH256" s="2297"/>
      <c r="GI256" s="2297"/>
      <c r="GJ256" s="2297"/>
      <c r="GK256" s="2297"/>
      <c r="GL256" s="2297"/>
      <c r="GM256" s="2297"/>
      <c r="GN256" s="2297"/>
      <c r="GO256" s="2297"/>
      <c r="GP256" s="2297"/>
      <c r="GQ256" s="2297"/>
      <c r="GR256" s="2297"/>
      <c r="GS256" s="2297"/>
      <c r="GT256" s="2297"/>
      <c r="GU256" s="2297"/>
      <c r="GV256" s="2297"/>
      <c r="GW256" s="2297"/>
      <c r="GX256" s="2297"/>
      <c r="GY256" s="2297"/>
      <c r="GZ256" s="2297"/>
      <c r="HA256" s="2297"/>
      <c r="HB256" s="2297"/>
      <c r="HC256" s="2297"/>
      <c r="HD256" s="2297"/>
      <c r="HE256" s="2297"/>
      <c r="HF256" s="2297"/>
      <c r="HG256" s="2297"/>
      <c r="HH256" s="2297"/>
      <c r="HI256" s="2297"/>
      <c r="HJ256" s="2297"/>
      <c r="HK256" s="2297"/>
      <c r="HL256" s="2297"/>
      <c r="HM256" s="2297"/>
      <c r="HN256" s="2297"/>
      <c r="HO256" s="2297"/>
      <c r="HP256" s="2297"/>
      <c r="HQ256" s="2297"/>
      <c r="HR256" s="2297"/>
      <c r="HS256" s="2297"/>
      <c r="HT256" s="2297"/>
      <c r="HU256" s="2297"/>
      <c r="HV256" s="2297"/>
      <c r="HW256" s="2297"/>
      <c r="HX256" s="2297"/>
      <c r="HY256" s="2297"/>
      <c r="HZ256" s="2297"/>
      <c r="IA256" s="2297"/>
      <c r="IB256" s="2297"/>
      <c r="IC256" s="2297"/>
      <c r="ID256" s="2297"/>
      <c r="IE256" s="2297"/>
      <c r="IF256" s="2297"/>
      <c r="IG256" s="2297"/>
      <c r="IH256" s="2297"/>
      <c r="II256" s="2297"/>
      <c r="IJ256" s="2297"/>
      <c r="IK256" s="2297"/>
      <c r="IL256" s="2297"/>
      <c r="IM256" s="2297"/>
      <c r="IN256" s="2297"/>
      <c r="IO256" s="2297"/>
      <c r="IP256" s="2297"/>
      <c r="IQ256" s="2297"/>
      <c r="IR256" s="2297"/>
      <c r="IS256" s="2297"/>
      <c r="IT256" s="2297"/>
      <c r="IU256" s="2297"/>
      <c r="IV256" s="2297"/>
    </row>
    <row r="257" spans="3:256">
      <c r="C257" s="2298"/>
      <c r="D257" s="2298"/>
      <c r="E257" s="2298"/>
      <c r="F257" s="2298"/>
      <c r="G257" s="2298"/>
      <c r="H257" s="2298"/>
      <c r="AC257" s="2297"/>
      <c r="AD257" s="2297"/>
      <c r="AE257" s="2297"/>
      <c r="AF257" s="2297"/>
      <c r="AG257" s="2297"/>
      <c r="AH257" s="2297"/>
      <c r="AI257" s="2297"/>
      <c r="AJ257" s="2297"/>
      <c r="AK257" s="2297"/>
      <c r="AL257" s="2297"/>
      <c r="AM257" s="2297"/>
      <c r="AN257" s="2297"/>
      <c r="AO257" s="2297"/>
      <c r="AP257" s="2297"/>
      <c r="AQ257" s="2297"/>
      <c r="AR257" s="2297"/>
      <c r="AS257" s="2297"/>
      <c r="AT257" s="2297"/>
      <c r="AU257" s="2297"/>
      <c r="AV257" s="2297"/>
      <c r="AW257" s="2297"/>
      <c r="AX257" s="2297"/>
      <c r="AY257" s="2297"/>
      <c r="AZ257" s="2297"/>
      <c r="BA257" s="2297"/>
      <c r="BB257" s="2297"/>
      <c r="BC257" s="2297"/>
      <c r="BD257" s="2297"/>
      <c r="BE257" s="2297"/>
      <c r="BF257" s="2297"/>
      <c r="BG257" s="2297"/>
      <c r="BH257" s="2297"/>
      <c r="BI257" s="2297"/>
      <c r="BJ257" s="2297"/>
      <c r="BK257" s="2297"/>
      <c r="BL257" s="2297"/>
      <c r="BM257" s="2297"/>
      <c r="BN257" s="2297"/>
      <c r="BO257" s="2297"/>
      <c r="BP257" s="2297"/>
      <c r="BQ257" s="2297"/>
      <c r="BR257" s="2297"/>
      <c r="BS257" s="2297"/>
      <c r="BT257" s="2297"/>
      <c r="BU257" s="2297"/>
      <c r="BV257" s="2297"/>
      <c r="BW257" s="2297"/>
      <c r="BX257" s="2297"/>
      <c r="BY257" s="2297"/>
      <c r="BZ257" s="2297"/>
      <c r="CA257" s="2297"/>
      <c r="CB257" s="2297"/>
      <c r="CC257" s="2297"/>
      <c r="CD257" s="2297"/>
      <c r="CE257" s="2297"/>
      <c r="CF257" s="2297"/>
      <c r="CG257" s="2297"/>
      <c r="CH257" s="2297"/>
      <c r="CI257" s="2297"/>
      <c r="CJ257" s="2297"/>
      <c r="CK257" s="2297"/>
      <c r="CL257" s="2297"/>
      <c r="CM257" s="2297"/>
      <c r="CN257" s="2297"/>
      <c r="CO257" s="2297"/>
      <c r="CP257" s="2297"/>
      <c r="CQ257" s="2297"/>
      <c r="CR257" s="2297"/>
      <c r="CS257" s="2297"/>
      <c r="CT257" s="2297"/>
      <c r="CU257" s="2297"/>
      <c r="CV257" s="2297"/>
      <c r="CW257" s="2297"/>
      <c r="CX257" s="2297"/>
      <c r="CY257" s="2297"/>
      <c r="CZ257" s="2297"/>
      <c r="DA257" s="2297"/>
      <c r="DB257" s="2297"/>
      <c r="DC257" s="2297"/>
      <c r="DD257" s="2297"/>
      <c r="DE257" s="2297"/>
      <c r="DF257" s="2297"/>
      <c r="DG257" s="2297"/>
      <c r="DH257" s="2297"/>
      <c r="DI257" s="2297"/>
      <c r="DJ257" s="2297"/>
      <c r="DK257" s="2297"/>
      <c r="DL257" s="2297"/>
      <c r="DM257" s="2297"/>
      <c r="DN257" s="2297"/>
      <c r="DO257" s="2297"/>
      <c r="DP257" s="2297"/>
      <c r="DQ257" s="2297"/>
      <c r="DR257" s="2297"/>
      <c r="DS257" s="2297"/>
      <c r="DT257" s="2297"/>
      <c r="DU257" s="2297"/>
      <c r="DV257" s="2297"/>
      <c r="DW257" s="2297"/>
      <c r="DX257" s="2297"/>
      <c r="DY257" s="2297"/>
      <c r="DZ257" s="2297"/>
      <c r="EA257" s="2297"/>
      <c r="EB257" s="2297"/>
      <c r="EC257" s="2297"/>
      <c r="ED257" s="2297"/>
      <c r="EE257" s="2297"/>
      <c r="EF257" s="2297"/>
      <c r="EG257" s="2297"/>
      <c r="EH257" s="2297"/>
      <c r="EI257" s="2297"/>
      <c r="EJ257" s="2297"/>
      <c r="EK257" s="2297"/>
      <c r="EL257" s="2297"/>
      <c r="EM257" s="2297"/>
      <c r="EN257" s="2297"/>
      <c r="EO257" s="2297"/>
      <c r="EP257" s="2297"/>
      <c r="EQ257" s="2297"/>
      <c r="ER257" s="2297"/>
      <c r="ES257" s="2297"/>
      <c r="ET257" s="2297"/>
      <c r="EU257" s="2297"/>
      <c r="EV257" s="2297"/>
      <c r="EW257" s="2297"/>
      <c r="EX257" s="2297"/>
      <c r="EY257" s="2297"/>
      <c r="EZ257" s="2297"/>
      <c r="FA257" s="2297"/>
      <c r="FB257" s="2297"/>
      <c r="FC257" s="2297"/>
      <c r="FD257" s="2297"/>
      <c r="FE257" s="2297"/>
      <c r="FF257" s="2297"/>
      <c r="FG257" s="2297"/>
      <c r="FH257" s="2297"/>
      <c r="FI257" s="2297"/>
      <c r="FJ257" s="2297"/>
      <c r="FK257" s="2297"/>
      <c r="FL257" s="2297"/>
      <c r="FM257" s="2297"/>
      <c r="FN257" s="2297"/>
      <c r="FO257" s="2297"/>
      <c r="FP257" s="2297"/>
      <c r="FQ257" s="2297"/>
      <c r="FR257" s="2297"/>
      <c r="FS257" s="2297"/>
      <c r="FT257" s="2297"/>
      <c r="FU257" s="2297"/>
      <c r="FV257" s="2297"/>
      <c r="FW257" s="2297"/>
      <c r="FX257" s="2297"/>
      <c r="FY257" s="2297"/>
      <c r="FZ257" s="2297"/>
      <c r="GA257" s="2297"/>
      <c r="GB257" s="2297"/>
      <c r="GC257" s="2297"/>
      <c r="GD257" s="2297"/>
      <c r="GE257" s="2297"/>
      <c r="GF257" s="2297"/>
      <c r="GG257" s="2297"/>
      <c r="GH257" s="2297"/>
      <c r="GI257" s="2297"/>
      <c r="GJ257" s="2297"/>
      <c r="GK257" s="2297"/>
      <c r="GL257" s="2297"/>
      <c r="GM257" s="2297"/>
      <c r="GN257" s="2297"/>
      <c r="GO257" s="2297"/>
      <c r="GP257" s="2297"/>
      <c r="GQ257" s="2297"/>
      <c r="GR257" s="2297"/>
      <c r="GS257" s="2297"/>
      <c r="GT257" s="2297"/>
      <c r="GU257" s="2297"/>
      <c r="GV257" s="2297"/>
      <c r="GW257" s="2297"/>
      <c r="GX257" s="2297"/>
      <c r="GY257" s="2297"/>
      <c r="GZ257" s="2297"/>
      <c r="HA257" s="2297"/>
      <c r="HB257" s="2297"/>
      <c r="HC257" s="2297"/>
      <c r="HD257" s="2297"/>
      <c r="HE257" s="2297"/>
      <c r="HF257" s="2297"/>
      <c r="HG257" s="2297"/>
      <c r="HH257" s="2297"/>
      <c r="HI257" s="2297"/>
      <c r="HJ257" s="2297"/>
      <c r="HK257" s="2297"/>
      <c r="HL257" s="2297"/>
      <c r="HM257" s="2297"/>
      <c r="HN257" s="2297"/>
      <c r="HO257" s="2297"/>
      <c r="HP257" s="2297"/>
      <c r="HQ257" s="2297"/>
      <c r="HR257" s="2297"/>
      <c r="HS257" s="2297"/>
      <c r="HT257" s="2297"/>
      <c r="HU257" s="2297"/>
      <c r="HV257" s="2297"/>
      <c r="HW257" s="2297"/>
      <c r="HX257" s="2297"/>
      <c r="HY257" s="2297"/>
      <c r="HZ257" s="2297"/>
      <c r="IA257" s="2297"/>
      <c r="IB257" s="2297"/>
      <c r="IC257" s="2297"/>
      <c r="ID257" s="2297"/>
      <c r="IE257" s="2297"/>
      <c r="IF257" s="2297"/>
      <c r="IG257" s="2297"/>
      <c r="IH257" s="2297"/>
      <c r="II257" s="2297"/>
      <c r="IJ257" s="2297"/>
      <c r="IK257" s="2297"/>
      <c r="IL257" s="2297"/>
      <c r="IM257" s="2297"/>
      <c r="IN257" s="2297"/>
      <c r="IO257" s="2297"/>
      <c r="IP257" s="2297"/>
      <c r="IQ257" s="2297"/>
      <c r="IR257" s="2297"/>
      <c r="IS257" s="2297"/>
      <c r="IT257" s="2297"/>
      <c r="IU257" s="2297"/>
      <c r="IV257" s="2297"/>
    </row>
    <row r="258" spans="3:256">
      <c r="C258" s="2298"/>
      <c r="D258" s="2298"/>
      <c r="E258" s="2298"/>
      <c r="F258" s="2298"/>
      <c r="G258" s="2298"/>
      <c r="H258" s="2298"/>
      <c r="AC258" s="2297"/>
      <c r="AD258" s="2297"/>
      <c r="AE258" s="2297"/>
      <c r="AF258" s="2297"/>
      <c r="AG258" s="2297"/>
      <c r="AH258" s="2297"/>
      <c r="AI258" s="2297"/>
      <c r="AJ258" s="2297"/>
      <c r="AK258" s="2297"/>
      <c r="AL258" s="2297"/>
      <c r="AM258" s="2297"/>
      <c r="AN258" s="2297"/>
      <c r="AO258" s="2297"/>
      <c r="AP258" s="2297"/>
      <c r="AQ258" s="2297"/>
      <c r="AR258" s="2297"/>
      <c r="AS258" s="2297"/>
      <c r="AT258" s="2297"/>
      <c r="AU258" s="2297"/>
      <c r="AV258" s="2297"/>
      <c r="AW258" s="2297"/>
      <c r="AX258" s="2297"/>
      <c r="AY258" s="2297"/>
      <c r="AZ258" s="2297"/>
      <c r="BA258" s="2297"/>
      <c r="BB258" s="2297"/>
      <c r="BC258" s="2297"/>
      <c r="BD258" s="2297"/>
      <c r="BE258" s="2297"/>
      <c r="BF258" s="2297"/>
      <c r="BG258" s="2297"/>
      <c r="BH258" s="2297"/>
      <c r="BI258" s="2297"/>
      <c r="BJ258" s="2297"/>
      <c r="BK258" s="2297"/>
      <c r="BL258" s="2297"/>
      <c r="BM258" s="2297"/>
      <c r="BN258" s="2297"/>
      <c r="BO258" s="2297"/>
      <c r="BP258" s="2297"/>
      <c r="BQ258" s="2297"/>
      <c r="BR258" s="2297"/>
      <c r="BS258" s="2297"/>
      <c r="BT258" s="2297"/>
      <c r="BU258" s="2297"/>
      <c r="BV258" s="2297"/>
      <c r="BW258" s="2297"/>
      <c r="BX258" s="2297"/>
      <c r="BY258" s="2297"/>
      <c r="BZ258" s="2297"/>
      <c r="CA258" s="2297"/>
      <c r="CB258" s="2297"/>
      <c r="CC258" s="2297"/>
      <c r="CD258" s="2297"/>
      <c r="CE258" s="2297"/>
      <c r="CF258" s="2297"/>
      <c r="CG258" s="2297"/>
      <c r="CH258" s="2297"/>
      <c r="CI258" s="2297"/>
      <c r="CJ258" s="2297"/>
      <c r="CK258" s="2297"/>
      <c r="CL258" s="2297"/>
      <c r="CM258" s="2297"/>
      <c r="CN258" s="2297"/>
      <c r="CO258" s="2297"/>
      <c r="CP258" s="2297"/>
      <c r="CQ258" s="2297"/>
      <c r="CR258" s="2297"/>
      <c r="CS258" s="2297"/>
      <c r="CT258" s="2297"/>
      <c r="CU258" s="2297"/>
      <c r="CV258" s="2297"/>
      <c r="CW258" s="2297"/>
      <c r="CX258" s="2297"/>
      <c r="CY258" s="2297"/>
      <c r="CZ258" s="2297"/>
      <c r="DA258" s="2297"/>
      <c r="DB258" s="2297"/>
      <c r="DC258" s="2297"/>
      <c r="DD258" s="2297"/>
      <c r="DE258" s="2297"/>
      <c r="DF258" s="2297"/>
      <c r="DG258" s="2297"/>
      <c r="DH258" s="2297"/>
      <c r="DI258" s="2297"/>
      <c r="DJ258" s="2297"/>
      <c r="DK258" s="2297"/>
      <c r="DL258" s="2297"/>
      <c r="DM258" s="2297"/>
      <c r="DN258" s="2297"/>
      <c r="DO258" s="2297"/>
      <c r="DP258" s="2297"/>
      <c r="DQ258" s="2297"/>
      <c r="DR258" s="2297"/>
      <c r="DS258" s="2297"/>
      <c r="DT258" s="2297"/>
      <c r="DU258" s="2297"/>
      <c r="DV258" s="2297"/>
      <c r="DW258" s="2297"/>
      <c r="DX258" s="2297"/>
      <c r="DY258" s="2297"/>
      <c r="DZ258" s="2297"/>
      <c r="EA258" s="2297"/>
      <c r="EB258" s="2297"/>
      <c r="EC258" s="2297"/>
      <c r="ED258" s="2297"/>
      <c r="EE258" s="2297"/>
      <c r="EF258" s="2297"/>
      <c r="EG258" s="2297"/>
      <c r="EH258" s="2297"/>
      <c r="EI258" s="2297"/>
      <c r="EJ258" s="2297"/>
      <c r="EK258" s="2297"/>
      <c r="EL258" s="2297"/>
      <c r="EM258" s="2297"/>
      <c r="EN258" s="2297"/>
      <c r="EO258" s="2297"/>
      <c r="EP258" s="2297"/>
      <c r="EQ258" s="2297"/>
      <c r="ER258" s="2297"/>
      <c r="ES258" s="2297"/>
      <c r="ET258" s="2297"/>
      <c r="EU258" s="2297"/>
      <c r="EV258" s="2297"/>
      <c r="EW258" s="2297"/>
      <c r="EX258" s="2297"/>
      <c r="EY258" s="2297"/>
      <c r="EZ258" s="2297"/>
      <c r="FA258" s="2297"/>
      <c r="FB258" s="2297"/>
      <c r="FC258" s="2297"/>
      <c r="FD258" s="2297"/>
      <c r="FE258" s="2297"/>
      <c r="FF258" s="2297"/>
      <c r="FG258" s="2297"/>
      <c r="FH258" s="2297"/>
      <c r="FI258" s="2297"/>
      <c r="FJ258" s="2297"/>
      <c r="FK258" s="2297"/>
      <c r="FL258" s="2297"/>
      <c r="FM258" s="2297"/>
      <c r="FN258" s="2297"/>
      <c r="FO258" s="2297"/>
      <c r="FP258" s="2297"/>
      <c r="FQ258" s="2297"/>
      <c r="FR258" s="2297"/>
      <c r="FS258" s="2297"/>
      <c r="FT258" s="2297"/>
      <c r="FU258" s="2297"/>
      <c r="FV258" s="2297"/>
      <c r="FW258" s="2297"/>
      <c r="FX258" s="2297"/>
      <c r="FY258" s="2297"/>
      <c r="FZ258" s="2297"/>
      <c r="GA258" s="2297"/>
      <c r="GB258" s="2297"/>
      <c r="GC258" s="2297"/>
      <c r="GD258" s="2297"/>
      <c r="GE258" s="2297"/>
      <c r="GF258" s="2297"/>
      <c r="GG258" s="2297"/>
      <c r="GH258" s="2297"/>
      <c r="GI258" s="2297"/>
      <c r="GJ258" s="2297"/>
      <c r="GK258" s="2297"/>
      <c r="GL258" s="2297"/>
      <c r="GM258" s="2297"/>
      <c r="GN258" s="2297"/>
      <c r="GO258" s="2297"/>
      <c r="GP258" s="2297"/>
      <c r="GQ258" s="2297"/>
      <c r="GR258" s="2297"/>
      <c r="GS258" s="2297"/>
      <c r="GT258" s="2297"/>
      <c r="GU258" s="2297"/>
      <c r="GV258" s="2297"/>
      <c r="GW258" s="2297"/>
      <c r="GX258" s="2297"/>
      <c r="GY258" s="2297"/>
      <c r="GZ258" s="2297"/>
      <c r="HA258" s="2297"/>
      <c r="HB258" s="2297"/>
      <c r="HC258" s="2297"/>
      <c r="HD258" s="2297"/>
      <c r="HE258" s="2297"/>
      <c r="HF258" s="2297"/>
      <c r="HG258" s="2297"/>
      <c r="HH258" s="2297"/>
      <c r="HI258" s="2297"/>
      <c r="HJ258" s="2297"/>
      <c r="HK258" s="2297"/>
      <c r="HL258" s="2297"/>
      <c r="HM258" s="2297"/>
      <c r="HN258" s="2297"/>
      <c r="HO258" s="2297"/>
      <c r="HP258" s="2297"/>
      <c r="HQ258" s="2297"/>
      <c r="HR258" s="2297"/>
      <c r="HS258" s="2297"/>
      <c r="HT258" s="2297"/>
      <c r="HU258" s="2297"/>
      <c r="HV258" s="2297"/>
      <c r="HW258" s="2297"/>
      <c r="HX258" s="2297"/>
      <c r="HY258" s="2297"/>
      <c r="HZ258" s="2297"/>
      <c r="IA258" s="2297"/>
      <c r="IB258" s="2297"/>
      <c r="IC258" s="2297"/>
      <c r="ID258" s="2297"/>
      <c r="IE258" s="2297"/>
      <c r="IF258" s="2297"/>
      <c r="IG258" s="2297"/>
      <c r="IH258" s="2297"/>
      <c r="II258" s="2297"/>
      <c r="IJ258" s="2297"/>
      <c r="IK258" s="2297"/>
      <c r="IL258" s="2297"/>
      <c r="IM258" s="2297"/>
      <c r="IN258" s="2297"/>
      <c r="IO258" s="2297"/>
      <c r="IP258" s="2297"/>
      <c r="IQ258" s="2297"/>
      <c r="IR258" s="2297"/>
      <c r="IS258" s="2297"/>
      <c r="IT258" s="2297"/>
      <c r="IU258" s="2297"/>
      <c r="IV258" s="2297"/>
    </row>
    <row r="259" spans="3:256">
      <c r="C259" s="2298"/>
      <c r="D259" s="2298"/>
      <c r="E259" s="2298"/>
      <c r="F259" s="2298"/>
      <c r="G259" s="2298"/>
      <c r="H259" s="2298"/>
      <c r="AC259" s="2297"/>
      <c r="AD259" s="2297"/>
      <c r="AE259" s="2297"/>
      <c r="AF259" s="2297"/>
      <c r="AG259" s="2297"/>
      <c r="AH259" s="2297"/>
      <c r="AI259" s="2297"/>
      <c r="AJ259" s="2297"/>
      <c r="AK259" s="2297"/>
      <c r="AL259" s="2297"/>
      <c r="AM259" s="2297"/>
      <c r="AN259" s="2297"/>
      <c r="AO259" s="2297"/>
      <c r="AP259" s="2297"/>
      <c r="AQ259" s="2297"/>
      <c r="AR259" s="2297"/>
      <c r="AS259" s="2297"/>
      <c r="AT259" s="2297"/>
      <c r="AU259" s="2297"/>
      <c r="AV259" s="2297"/>
      <c r="AW259" s="2297"/>
      <c r="AX259" s="2297"/>
      <c r="AY259" s="2297"/>
      <c r="AZ259" s="2297"/>
      <c r="BA259" s="2297"/>
      <c r="BB259" s="2297"/>
      <c r="BC259" s="2297"/>
      <c r="BD259" s="2297"/>
      <c r="BE259" s="2297"/>
      <c r="BF259" s="2297"/>
      <c r="BG259" s="2297"/>
      <c r="BH259" s="2297"/>
      <c r="BI259" s="2297"/>
      <c r="BJ259" s="2297"/>
      <c r="BK259" s="2297"/>
      <c r="BL259" s="2297"/>
      <c r="BM259" s="2297"/>
      <c r="BN259" s="2297"/>
      <c r="BO259" s="2297"/>
      <c r="BP259" s="2297"/>
      <c r="BQ259" s="2297"/>
      <c r="BR259" s="2297"/>
      <c r="BS259" s="2297"/>
      <c r="BT259" s="2297"/>
      <c r="BU259" s="2297"/>
      <c r="BV259" s="2297"/>
      <c r="BW259" s="2297"/>
      <c r="BX259" s="2297"/>
      <c r="BY259" s="2297"/>
      <c r="BZ259" s="2297"/>
      <c r="CA259" s="2297"/>
      <c r="CB259" s="2297"/>
      <c r="CC259" s="2297"/>
      <c r="CD259" s="2297"/>
      <c r="CE259" s="2297"/>
      <c r="CF259" s="2297"/>
      <c r="CG259" s="2297"/>
      <c r="CH259" s="2297"/>
      <c r="CI259" s="2297"/>
      <c r="CJ259" s="2297"/>
      <c r="CK259" s="2297"/>
      <c r="CL259" s="2297"/>
      <c r="CM259" s="2297"/>
      <c r="CN259" s="2297"/>
      <c r="CO259" s="2297"/>
      <c r="CP259" s="2297"/>
      <c r="CQ259" s="2297"/>
      <c r="CR259" s="2297"/>
      <c r="CS259" s="2297"/>
      <c r="CT259" s="2297"/>
      <c r="CU259" s="2297"/>
      <c r="CV259" s="2297"/>
      <c r="CW259" s="2297"/>
      <c r="CX259" s="2297"/>
      <c r="CY259" s="2297"/>
      <c r="CZ259" s="2297"/>
      <c r="DA259" s="2297"/>
      <c r="DB259" s="2297"/>
      <c r="DC259" s="2297"/>
      <c r="DD259" s="2297"/>
      <c r="DE259" s="2297"/>
      <c r="DF259" s="2297"/>
      <c r="DG259" s="2297"/>
      <c r="DH259" s="2297"/>
      <c r="DI259" s="2297"/>
      <c r="DJ259" s="2297"/>
      <c r="DK259" s="2297"/>
      <c r="DL259" s="2297"/>
      <c r="DM259" s="2297"/>
      <c r="DN259" s="2297"/>
      <c r="DO259" s="2297"/>
      <c r="DP259" s="2297"/>
      <c r="DQ259" s="2297"/>
      <c r="DR259" s="2297"/>
      <c r="DS259" s="2297"/>
      <c r="DT259" s="2297"/>
      <c r="DU259" s="2297"/>
      <c r="DV259" s="2297"/>
      <c r="DW259" s="2297"/>
      <c r="DX259" s="2297"/>
      <c r="DY259" s="2297"/>
      <c r="DZ259" s="2297"/>
      <c r="EA259" s="2297"/>
      <c r="EB259" s="2297"/>
      <c r="EC259" s="2297"/>
      <c r="ED259" s="2297"/>
      <c r="EE259" s="2297"/>
      <c r="EF259" s="2297"/>
      <c r="EG259" s="2297"/>
      <c r="EH259" s="2297"/>
      <c r="EI259" s="2297"/>
      <c r="EJ259" s="2297"/>
      <c r="EK259" s="2297"/>
      <c r="EL259" s="2297"/>
      <c r="EM259" s="2297"/>
      <c r="EN259" s="2297"/>
      <c r="EO259" s="2297"/>
      <c r="EP259" s="2297"/>
      <c r="EQ259" s="2297"/>
      <c r="ER259" s="2297"/>
      <c r="ES259" s="2297"/>
      <c r="ET259" s="2297"/>
      <c r="EU259" s="2297"/>
      <c r="EV259" s="2297"/>
      <c r="EW259" s="2297"/>
      <c r="EX259" s="2297"/>
      <c r="EY259" s="2297"/>
      <c r="EZ259" s="2297"/>
      <c r="FA259" s="2297"/>
      <c r="FB259" s="2297"/>
      <c r="FC259" s="2297"/>
      <c r="FD259" s="2297"/>
      <c r="FE259" s="2297"/>
      <c r="FF259" s="2297"/>
      <c r="FG259" s="2297"/>
      <c r="FH259" s="2297"/>
      <c r="FI259" s="2297"/>
      <c r="FJ259" s="2297"/>
      <c r="FK259" s="2297"/>
      <c r="FL259" s="2297"/>
      <c r="FM259" s="2297"/>
      <c r="FN259" s="2297"/>
      <c r="FO259" s="2297"/>
      <c r="FP259" s="2297"/>
      <c r="FQ259" s="2297"/>
      <c r="FR259" s="2297"/>
      <c r="FS259" s="2297"/>
      <c r="FT259" s="2297"/>
      <c r="FU259" s="2297"/>
      <c r="FV259" s="2297"/>
      <c r="FW259" s="2297"/>
      <c r="FX259" s="2297"/>
      <c r="FY259" s="2297"/>
      <c r="FZ259" s="2297"/>
      <c r="GA259" s="2297"/>
      <c r="GB259" s="2297"/>
      <c r="GC259" s="2297"/>
      <c r="GD259" s="2297"/>
      <c r="GE259" s="2297"/>
      <c r="GF259" s="2297"/>
      <c r="GG259" s="2297"/>
      <c r="GH259" s="2297"/>
      <c r="GI259" s="2297"/>
      <c r="GJ259" s="2297"/>
      <c r="GK259" s="2297"/>
      <c r="GL259" s="2297"/>
      <c r="GM259" s="2297"/>
      <c r="GN259" s="2297"/>
      <c r="GO259" s="2297"/>
      <c r="GP259" s="2297"/>
      <c r="GQ259" s="2297"/>
      <c r="GR259" s="2297"/>
      <c r="GS259" s="2297"/>
      <c r="GT259" s="2297"/>
      <c r="GU259" s="2297"/>
      <c r="GV259" s="2297"/>
      <c r="GW259" s="2297"/>
      <c r="GX259" s="2297"/>
      <c r="GY259" s="2297"/>
      <c r="GZ259" s="2297"/>
      <c r="HA259" s="2297"/>
      <c r="HB259" s="2297"/>
      <c r="HC259" s="2297"/>
      <c r="HD259" s="2297"/>
      <c r="HE259" s="2297"/>
      <c r="HF259" s="2297"/>
      <c r="HG259" s="2297"/>
      <c r="HH259" s="2297"/>
      <c r="HI259" s="2297"/>
      <c r="HJ259" s="2297"/>
      <c r="HK259" s="2297"/>
      <c r="HL259" s="2297"/>
      <c r="HM259" s="2297"/>
      <c r="HN259" s="2297"/>
      <c r="HO259" s="2297"/>
      <c r="HP259" s="2297"/>
      <c r="HQ259" s="2297"/>
      <c r="HR259" s="2297"/>
      <c r="HS259" s="2297"/>
      <c r="HT259" s="2297"/>
      <c r="HU259" s="2297"/>
      <c r="HV259" s="2297"/>
      <c r="HW259" s="2297"/>
      <c r="HX259" s="2297"/>
      <c r="HY259" s="2297"/>
      <c r="HZ259" s="2297"/>
      <c r="IA259" s="2297"/>
      <c r="IB259" s="2297"/>
      <c r="IC259" s="2297"/>
      <c r="ID259" s="2297"/>
      <c r="IE259" s="2297"/>
      <c r="IF259" s="2297"/>
      <c r="IG259" s="2297"/>
      <c r="IH259" s="2297"/>
      <c r="II259" s="2297"/>
      <c r="IJ259" s="2297"/>
      <c r="IK259" s="2297"/>
      <c r="IL259" s="2297"/>
      <c r="IM259" s="2297"/>
      <c r="IN259" s="2297"/>
      <c r="IO259" s="2297"/>
      <c r="IP259" s="2297"/>
      <c r="IQ259" s="2297"/>
      <c r="IR259" s="2297"/>
      <c r="IS259" s="2297"/>
      <c r="IT259" s="2297"/>
      <c r="IU259" s="2297"/>
      <c r="IV259" s="2297"/>
    </row>
    <row r="260" spans="3:256">
      <c r="C260" s="2298"/>
      <c r="D260" s="2298"/>
      <c r="E260" s="2298"/>
      <c r="F260" s="2298"/>
      <c r="G260" s="2298"/>
      <c r="H260" s="2298"/>
      <c r="AC260" s="2297"/>
      <c r="AD260" s="2297"/>
      <c r="AE260" s="2297"/>
      <c r="AF260" s="2297"/>
      <c r="AG260" s="2297"/>
      <c r="AH260" s="2297"/>
      <c r="AI260" s="2297"/>
      <c r="AJ260" s="2297"/>
      <c r="AK260" s="2297"/>
      <c r="AL260" s="2297"/>
      <c r="AM260" s="2297"/>
      <c r="AN260" s="2297"/>
      <c r="AO260" s="2297"/>
      <c r="AP260" s="2297"/>
      <c r="AQ260" s="2297"/>
      <c r="AR260" s="2297"/>
      <c r="AS260" s="2297"/>
      <c r="AT260" s="2297"/>
      <c r="AU260" s="2297"/>
      <c r="AV260" s="2297"/>
      <c r="AW260" s="2297"/>
      <c r="AX260" s="2297"/>
      <c r="AY260" s="2297"/>
      <c r="AZ260" s="2297"/>
      <c r="BA260" s="2297"/>
      <c r="BB260" s="2297"/>
      <c r="BC260" s="2297"/>
      <c r="BD260" s="2297"/>
      <c r="BE260" s="2297"/>
      <c r="BF260" s="2297"/>
      <c r="BG260" s="2297"/>
      <c r="BH260" s="2297"/>
      <c r="BI260" s="2297"/>
      <c r="BJ260" s="2297"/>
      <c r="BK260" s="2297"/>
      <c r="BL260" s="2297"/>
      <c r="BM260" s="2297"/>
      <c r="BN260" s="2297"/>
      <c r="BO260" s="2297"/>
      <c r="BP260" s="2297"/>
      <c r="BQ260" s="2297"/>
      <c r="BR260" s="2297"/>
      <c r="BS260" s="2297"/>
      <c r="BT260" s="2297"/>
      <c r="BU260" s="2297"/>
      <c r="BV260" s="2297"/>
      <c r="BW260" s="2297"/>
      <c r="BX260" s="2297"/>
      <c r="BY260" s="2297"/>
      <c r="BZ260" s="2297"/>
      <c r="CA260" s="2297"/>
      <c r="CB260" s="2297"/>
      <c r="CC260" s="2297"/>
      <c r="CD260" s="2297"/>
      <c r="CE260" s="2297"/>
      <c r="CF260" s="2297"/>
      <c r="CG260" s="2297"/>
      <c r="CH260" s="2297"/>
      <c r="CI260" s="2297"/>
      <c r="CJ260" s="2297"/>
      <c r="CK260" s="2297"/>
      <c r="CL260" s="2297"/>
      <c r="CM260" s="2297"/>
      <c r="CN260" s="2297"/>
      <c r="CO260" s="2297"/>
      <c r="CP260" s="2297"/>
      <c r="CQ260" s="2297"/>
      <c r="CR260" s="2297"/>
      <c r="CS260" s="2297"/>
      <c r="CT260" s="2297"/>
      <c r="CU260" s="2297"/>
      <c r="CV260" s="2297"/>
      <c r="CW260" s="2297"/>
      <c r="CX260" s="2297"/>
      <c r="CY260" s="2297"/>
      <c r="CZ260" s="2297"/>
      <c r="DA260" s="2297"/>
      <c r="DB260" s="2297"/>
      <c r="DC260" s="2297"/>
      <c r="DD260" s="2297"/>
      <c r="DE260" s="2297"/>
      <c r="DF260" s="2297"/>
      <c r="DG260" s="2297"/>
      <c r="DH260" s="2297"/>
      <c r="DI260" s="2297"/>
      <c r="DJ260" s="2297"/>
      <c r="DK260" s="2297"/>
      <c r="DL260" s="2297"/>
      <c r="DM260" s="2297"/>
      <c r="DN260" s="2297"/>
      <c r="DO260" s="2297"/>
      <c r="DP260" s="2297"/>
      <c r="DQ260" s="2297"/>
      <c r="DR260" s="2297"/>
      <c r="DS260" s="2297"/>
      <c r="DT260" s="2297"/>
      <c r="DU260" s="2297"/>
      <c r="DV260" s="2297"/>
      <c r="DW260" s="2297"/>
      <c r="DX260" s="2297"/>
      <c r="DY260" s="2297"/>
      <c r="DZ260" s="2297"/>
      <c r="EA260" s="2297"/>
      <c r="EB260" s="2297"/>
      <c r="EC260" s="2297"/>
      <c r="ED260" s="2297"/>
      <c r="EE260" s="2297"/>
      <c r="EF260" s="2297"/>
      <c r="EG260" s="2297"/>
      <c r="EH260" s="2297"/>
      <c r="EI260" s="2297"/>
      <c r="EJ260" s="2297"/>
      <c r="EK260" s="2297"/>
      <c r="EL260" s="2297"/>
      <c r="EM260" s="2297"/>
      <c r="EN260" s="2297"/>
      <c r="EO260" s="2297"/>
      <c r="EP260" s="2297"/>
      <c r="EQ260" s="2297"/>
      <c r="ER260" s="2297"/>
      <c r="ES260" s="2297"/>
      <c r="ET260" s="2297"/>
      <c r="EU260" s="2297"/>
      <c r="EV260" s="2297"/>
      <c r="EW260" s="2297"/>
      <c r="EX260" s="2297"/>
      <c r="EY260" s="2297"/>
      <c r="EZ260" s="2297"/>
      <c r="FA260" s="2297"/>
      <c r="FB260" s="2297"/>
      <c r="FC260" s="2297"/>
      <c r="FD260" s="2297"/>
      <c r="FE260" s="2297"/>
      <c r="FF260" s="2297"/>
      <c r="FG260" s="2297"/>
      <c r="FH260" s="2297"/>
      <c r="FI260" s="2297"/>
      <c r="FJ260" s="2297"/>
      <c r="FK260" s="2297"/>
      <c r="FL260" s="2297"/>
      <c r="FM260" s="2297"/>
      <c r="FN260" s="2297"/>
      <c r="FO260" s="2297"/>
      <c r="FP260" s="2297"/>
      <c r="FQ260" s="2297"/>
      <c r="FR260" s="2297"/>
      <c r="FS260" s="2297"/>
      <c r="FT260" s="2297"/>
      <c r="FU260" s="2297"/>
      <c r="FV260" s="2297"/>
      <c r="FW260" s="2297"/>
      <c r="FX260" s="2297"/>
      <c r="FY260" s="2297"/>
      <c r="FZ260" s="2297"/>
      <c r="GA260" s="2297"/>
      <c r="GB260" s="2297"/>
      <c r="GC260" s="2297"/>
      <c r="GD260" s="2297"/>
      <c r="GE260" s="2297"/>
      <c r="GF260" s="2297"/>
      <c r="GG260" s="2297"/>
      <c r="GH260" s="2297"/>
      <c r="GI260" s="2297"/>
      <c r="GJ260" s="2297"/>
      <c r="GK260" s="2297"/>
      <c r="GL260" s="2297"/>
      <c r="GM260" s="2297"/>
      <c r="GN260" s="2297"/>
      <c r="GO260" s="2297"/>
      <c r="GP260" s="2297"/>
      <c r="GQ260" s="2297"/>
      <c r="GR260" s="2297"/>
      <c r="GS260" s="2297"/>
      <c r="GT260" s="2297"/>
      <c r="GU260" s="2297"/>
      <c r="GV260" s="2297"/>
      <c r="GW260" s="2297"/>
      <c r="GX260" s="2297"/>
      <c r="GY260" s="2297"/>
      <c r="GZ260" s="2297"/>
      <c r="HA260" s="2297"/>
      <c r="HB260" s="2297"/>
      <c r="HC260" s="2297"/>
      <c r="HD260" s="2297"/>
      <c r="HE260" s="2297"/>
      <c r="HF260" s="2297"/>
      <c r="HG260" s="2297"/>
      <c r="HH260" s="2297"/>
      <c r="HI260" s="2297"/>
      <c r="HJ260" s="2297"/>
      <c r="HK260" s="2297"/>
      <c r="HL260" s="2297"/>
      <c r="HM260" s="2297"/>
      <c r="HN260" s="2297"/>
      <c r="HO260" s="2297"/>
      <c r="HP260" s="2297"/>
      <c r="HQ260" s="2297"/>
      <c r="HR260" s="2297"/>
      <c r="HS260" s="2297"/>
      <c r="HT260" s="2297"/>
      <c r="HU260" s="2297"/>
      <c r="HV260" s="2297"/>
      <c r="HW260" s="2297"/>
      <c r="HX260" s="2297"/>
      <c r="HY260" s="2297"/>
      <c r="HZ260" s="2297"/>
      <c r="IA260" s="2297"/>
      <c r="IB260" s="2297"/>
      <c r="IC260" s="2297"/>
      <c r="ID260" s="2297"/>
      <c r="IE260" s="2297"/>
      <c r="IF260" s="2297"/>
      <c r="IG260" s="2297"/>
      <c r="IH260" s="2297"/>
      <c r="II260" s="2297"/>
      <c r="IJ260" s="2297"/>
      <c r="IK260" s="2297"/>
      <c r="IL260" s="2297"/>
      <c r="IM260" s="2297"/>
      <c r="IN260" s="2297"/>
      <c r="IO260" s="2297"/>
      <c r="IP260" s="2297"/>
      <c r="IQ260" s="2297"/>
      <c r="IR260" s="2297"/>
      <c r="IS260" s="2297"/>
      <c r="IT260" s="2297"/>
      <c r="IU260" s="2297"/>
      <c r="IV260" s="2297"/>
    </row>
    <row r="261" spans="3:256">
      <c r="C261" s="2298"/>
      <c r="D261" s="2298"/>
      <c r="E261" s="2298"/>
      <c r="F261" s="2298"/>
      <c r="G261" s="2298"/>
      <c r="H261" s="2298"/>
      <c r="AC261" s="2297"/>
      <c r="AD261" s="2297"/>
      <c r="AE261" s="2297"/>
      <c r="AF261" s="2297"/>
      <c r="AG261" s="2297"/>
      <c r="AH261" s="2297"/>
      <c r="AI261" s="2297"/>
      <c r="AJ261" s="2297"/>
      <c r="AK261" s="2297"/>
      <c r="AL261" s="2297"/>
      <c r="AM261" s="2297"/>
      <c r="AN261" s="2297"/>
      <c r="AO261" s="2297"/>
      <c r="AP261" s="2297"/>
      <c r="AQ261" s="2297"/>
      <c r="AR261" s="2297"/>
      <c r="AS261" s="2297"/>
      <c r="AT261" s="2297"/>
      <c r="AU261" s="2297"/>
      <c r="AV261" s="2297"/>
      <c r="AW261" s="2297"/>
      <c r="AX261" s="2297"/>
      <c r="AY261" s="2297"/>
      <c r="AZ261" s="2297"/>
      <c r="BA261" s="2297"/>
      <c r="BB261" s="2297"/>
      <c r="BC261" s="2297"/>
      <c r="BD261" s="2297"/>
      <c r="BE261" s="2297"/>
      <c r="BF261" s="2297"/>
      <c r="BG261" s="2297"/>
      <c r="BH261" s="2297"/>
      <c r="BI261" s="2297"/>
      <c r="BJ261" s="2297"/>
      <c r="BK261" s="2297"/>
      <c r="BL261" s="2297"/>
      <c r="BM261" s="2297"/>
      <c r="BN261" s="2297"/>
      <c r="BO261" s="2297"/>
      <c r="BP261" s="2297"/>
      <c r="BQ261" s="2297"/>
      <c r="BR261" s="2297"/>
      <c r="BS261" s="2297"/>
      <c r="BT261" s="2297"/>
      <c r="BU261" s="2297"/>
      <c r="BV261" s="2297"/>
      <c r="BW261" s="2297"/>
      <c r="BX261" s="2297"/>
      <c r="BY261" s="2297"/>
      <c r="BZ261" s="2297"/>
      <c r="CA261" s="2297"/>
      <c r="CB261" s="2297"/>
      <c r="CC261" s="2297"/>
      <c r="CD261" s="2297"/>
      <c r="CE261" s="2297"/>
      <c r="CF261" s="2297"/>
      <c r="CG261" s="2297"/>
      <c r="CH261" s="2297"/>
      <c r="CI261" s="2297"/>
      <c r="CJ261" s="2297"/>
      <c r="CK261" s="2297"/>
      <c r="CL261" s="2297"/>
      <c r="CM261" s="2297"/>
      <c r="CN261" s="2297"/>
      <c r="CO261" s="2297"/>
      <c r="CP261" s="2297"/>
      <c r="CQ261" s="2297"/>
      <c r="CR261" s="2297"/>
      <c r="CS261" s="2297"/>
      <c r="CT261" s="2297"/>
      <c r="CU261" s="2297"/>
      <c r="CV261" s="2297"/>
      <c r="CW261" s="2297"/>
      <c r="CX261" s="2297"/>
      <c r="CY261" s="2297"/>
      <c r="CZ261" s="2297"/>
      <c r="DA261" s="2297"/>
      <c r="DB261" s="2297"/>
      <c r="DC261" s="2297"/>
      <c r="DD261" s="2297"/>
      <c r="DE261" s="2297"/>
      <c r="DF261" s="2297"/>
      <c r="DG261" s="2297"/>
      <c r="DH261" s="2297"/>
      <c r="DI261" s="2297"/>
      <c r="DJ261" s="2297"/>
      <c r="DK261" s="2297"/>
      <c r="DL261" s="2297"/>
      <c r="DM261" s="2297"/>
      <c r="DN261" s="2297"/>
      <c r="DO261" s="2297"/>
      <c r="DP261" s="2297"/>
      <c r="DQ261" s="2297"/>
      <c r="DR261" s="2297"/>
      <c r="DS261" s="2297"/>
      <c r="DT261" s="2297"/>
      <c r="DU261" s="2297"/>
      <c r="DV261" s="2297"/>
      <c r="DW261" s="2297"/>
      <c r="DX261" s="2297"/>
      <c r="DY261" s="2297"/>
      <c r="DZ261" s="2297"/>
      <c r="EA261" s="2297"/>
      <c r="EB261" s="2297"/>
      <c r="EC261" s="2297"/>
      <c r="ED261" s="2297"/>
      <c r="EE261" s="2297"/>
      <c r="EF261" s="2297"/>
      <c r="EG261" s="2297"/>
      <c r="EH261" s="2297"/>
      <c r="EI261" s="2297"/>
      <c r="EJ261" s="2297"/>
      <c r="EK261" s="2297"/>
      <c r="EL261" s="2297"/>
      <c r="EM261" s="2297"/>
      <c r="EN261" s="2297"/>
      <c r="EO261" s="2297"/>
      <c r="EP261" s="2297"/>
      <c r="EQ261" s="2297"/>
      <c r="ER261" s="2297"/>
      <c r="ES261" s="2297"/>
      <c r="ET261" s="2297"/>
      <c r="EU261" s="2297"/>
      <c r="EV261" s="2297"/>
      <c r="EW261" s="2297"/>
      <c r="EX261" s="2297"/>
      <c r="EY261" s="2297"/>
      <c r="EZ261" s="2297"/>
      <c r="FA261" s="2297"/>
      <c r="FB261" s="2297"/>
      <c r="FC261" s="2297"/>
      <c r="FD261" s="2297"/>
      <c r="FE261" s="2297"/>
      <c r="FF261" s="2297"/>
      <c r="FG261" s="2297"/>
      <c r="FH261" s="2297"/>
      <c r="FI261" s="2297"/>
      <c r="FJ261" s="2297"/>
      <c r="FK261" s="2297"/>
      <c r="FL261" s="2297"/>
      <c r="FM261" s="2297"/>
      <c r="FN261" s="2297"/>
      <c r="FO261" s="2297"/>
      <c r="FP261" s="2297"/>
      <c r="FQ261" s="2297"/>
      <c r="FR261" s="2297"/>
      <c r="FS261" s="2297"/>
      <c r="FT261" s="2297"/>
      <c r="FU261" s="2297"/>
      <c r="FV261" s="2297"/>
      <c r="FW261" s="2297"/>
      <c r="FX261" s="2297"/>
      <c r="FY261" s="2297"/>
      <c r="FZ261" s="2297"/>
      <c r="GA261" s="2297"/>
      <c r="GB261" s="2297"/>
      <c r="GC261" s="2297"/>
      <c r="GD261" s="2297"/>
      <c r="GE261" s="2297"/>
      <c r="GF261" s="2297"/>
      <c r="GG261" s="2297"/>
      <c r="GH261" s="2297"/>
      <c r="GI261" s="2297"/>
      <c r="GJ261" s="2297"/>
      <c r="GK261" s="2297"/>
      <c r="GL261" s="2297"/>
      <c r="GM261" s="2297"/>
      <c r="GN261" s="2297"/>
      <c r="GO261" s="2297"/>
      <c r="GP261" s="2297"/>
      <c r="GQ261" s="2297"/>
      <c r="GR261" s="2297"/>
      <c r="GS261" s="2297"/>
      <c r="GT261" s="2297"/>
      <c r="GU261" s="2297"/>
      <c r="GV261" s="2297"/>
      <c r="GW261" s="2297"/>
      <c r="GX261" s="2297"/>
      <c r="GY261" s="2297"/>
      <c r="GZ261" s="2297"/>
      <c r="HA261" s="2297"/>
      <c r="HB261" s="2297"/>
      <c r="HC261" s="2297"/>
      <c r="HD261" s="2297"/>
      <c r="HE261" s="2297"/>
      <c r="HF261" s="2297"/>
      <c r="HG261" s="2297"/>
      <c r="HH261" s="2297"/>
      <c r="HI261" s="2297"/>
      <c r="HJ261" s="2297"/>
      <c r="HK261" s="2297"/>
      <c r="HL261" s="2297"/>
      <c r="HM261" s="2297"/>
      <c r="HN261" s="2297"/>
      <c r="HO261" s="2297"/>
      <c r="HP261" s="2297"/>
      <c r="HQ261" s="2297"/>
      <c r="HR261" s="2297"/>
      <c r="HS261" s="2297"/>
      <c r="HT261" s="2297"/>
      <c r="HU261" s="2297"/>
      <c r="HV261" s="2297"/>
      <c r="HW261" s="2297"/>
      <c r="HX261" s="2297"/>
      <c r="HY261" s="2297"/>
      <c r="HZ261" s="2297"/>
      <c r="IA261" s="2297"/>
      <c r="IB261" s="2297"/>
      <c r="IC261" s="2297"/>
      <c r="ID261" s="2297"/>
      <c r="IE261" s="2297"/>
      <c r="IF261" s="2297"/>
      <c r="IG261" s="2297"/>
      <c r="IH261" s="2297"/>
      <c r="II261" s="2297"/>
      <c r="IJ261" s="2297"/>
      <c r="IK261" s="2297"/>
      <c r="IL261" s="2297"/>
      <c r="IM261" s="2297"/>
      <c r="IN261" s="2297"/>
      <c r="IO261" s="2297"/>
      <c r="IP261" s="2297"/>
      <c r="IQ261" s="2297"/>
      <c r="IR261" s="2297"/>
      <c r="IS261" s="2297"/>
      <c r="IT261" s="2297"/>
      <c r="IU261" s="2297"/>
      <c r="IV261" s="2297"/>
    </row>
    <row r="262" spans="3:256">
      <c r="C262" s="2298"/>
      <c r="D262" s="2298"/>
      <c r="E262" s="2298"/>
      <c r="F262" s="2298"/>
      <c r="G262" s="2298"/>
      <c r="H262" s="2298"/>
      <c r="AC262" s="2297"/>
      <c r="AD262" s="2297"/>
      <c r="AE262" s="2297"/>
      <c r="AF262" s="2297"/>
      <c r="AG262" s="2297"/>
      <c r="AH262" s="2297"/>
      <c r="AI262" s="2297"/>
      <c r="AJ262" s="2297"/>
      <c r="AK262" s="2297"/>
      <c r="AL262" s="2297"/>
      <c r="AM262" s="2297"/>
      <c r="AN262" s="2297"/>
      <c r="AO262" s="2297"/>
      <c r="AP262" s="2297"/>
      <c r="AQ262" s="2297"/>
      <c r="AR262" s="2297"/>
      <c r="AS262" s="2297"/>
      <c r="AT262" s="2297"/>
      <c r="AU262" s="2297"/>
      <c r="AV262" s="2297"/>
      <c r="AW262" s="2297"/>
      <c r="AX262" s="2297"/>
      <c r="AY262" s="2297"/>
      <c r="AZ262" s="2297"/>
      <c r="BA262" s="2297"/>
      <c r="BB262" s="2297"/>
      <c r="BC262" s="2297"/>
      <c r="BD262" s="2297"/>
      <c r="BE262" s="2297"/>
      <c r="BF262" s="2297"/>
      <c r="BG262" s="2297"/>
      <c r="BH262" s="2297"/>
      <c r="BI262" s="2297"/>
      <c r="BJ262" s="2297"/>
      <c r="BK262" s="2297"/>
      <c r="BL262" s="2297"/>
      <c r="BM262" s="2297"/>
      <c r="BN262" s="2297"/>
      <c r="BO262" s="2297"/>
      <c r="BP262" s="2297"/>
      <c r="BQ262" s="2297"/>
      <c r="BR262" s="2297"/>
      <c r="BS262" s="2297"/>
      <c r="BT262" s="2297"/>
      <c r="BU262" s="2297"/>
      <c r="BV262" s="2297"/>
      <c r="BW262" s="2297"/>
      <c r="BX262" s="2297"/>
      <c r="BY262" s="2297"/>
      <c r="BZ262" s="2297"/>
      <c r="CA262" s="2297"/>
      <c r="CB262" s="2297"/>
      <c r="CC262" s="2297"/>
      <c r="CD262" s="2297"/>
      <c r="CE262" s="2297"/>
      <c r="CF262" s="2297"/>
      <c r="CG262" s="2297"/>
      <c r="CH262" s="2297"/>
      <c r="CI262" s="2297"/>
      <c r="CJ262" s="2297"/>
      <c r="CK262" s="2297"/>
      <c r="CL262" s="2297"/>
      <c r="CM262" s="2297"/>
      <c r="CN262" s="2297"/>
      <c r="CO262" s="2297"/>
      <c r="CP262" s="2297"/>
      <c r="CQ262" s="2297"/>
      <c r="CR262" s="2297"/>
      <c r="CS262" s="2297"/>
      <c r="CT262" s="2297"/>
      <c r="CU262" s="2297"/>
      <c r="CV262" s="2297"/>
      <c r="CW262" s="2297"/>
      <c r="CX262" s="2297"/>
      <c r="CY262" s="2297"/>
      <c r="CZ262" s="2297"/>
      <c r="DA262" s="2297"/>
      <c r="DB262" s="2297"/>
      <c r="DC262" s="2297"/>
      <c r="DD262" s="2297"/>
      <c r="DE262" s="2297"/>
      <c r="DF262" s="2297"/>
      <c r="DG262" s="2297"/>
      <c r="DH262" s="2297"/>
      <c r="DI262" s="2297"/>
      <c r="DJ262" s="2297"/>
      <c r="DK262" s="2297"/>
      <c r="DL262" s="2297"/>
      <c r="DM262" s="2297"/>
      <c r="DN262" s="2297"/>
      <c r="DO262" s="2297"/>
      <c r="DP262" s="2297"/>
      <c r="DQ262" s="2297"/>
      <c r="DR262" s="2297"/>
      <c r="DS262" s="2297"/>
      <c r="DT262" s="2297"/>
      <c r="DU262" s="2297"/>
      <c r="DV262" s="2297"/>
      <c r="DW262" s="2297"/>
      <c r="DX262" s="2297"/>
      <c r="DY262" s="2297"/>
      <c r="DZ262" s="2297"/>
      <c r="EA262" s="2297"/>
      <c r="EB262" s="2297"/>
      <c r="EC262" s="2297"/>
      <c r="ED262" s="2297"/>
      <c r="EE262" s="2297"/>
      <c r="EF262" s="2297"/>
      <c r="EG262" s="2297"/>
      <c r="EH262" s="2297"/>
      <c r="EI262" s="2297"/>
      <c r="EJ262" s="2297"/>
      <c r="EK262" s="2297"/>
      <c r="EL262" s="2297"/>
      <c r="EM262" s="2297"/>
      <c r="EN262" s="2297"/>
      <c r="EO262" s="2297"/>
      <c r="EP262" s="2297"/>
      <c r="EQ262" s="2297"/>
      <c r="ER262" s="2297"/>
      <c r="ES262" s="2297"/>
      <c r="ET262" s="2297"/>
      <c r="EU262" s="2297"/>
      <c r="EV262" s="2297"/>
      <c r="EW262" s="2297"/>
      <c r="EX262" s="2297"/>
      <c r="EY262" s="2297"/>
      <c r="EZ262" s="2297"/>
      <c r="FA262" s="2297"/>
      <c r="FB262" s="2297"/>
      <c r="FC262" s="2297"/>
      <c r="FD262" s="2297"/>
      <c r="FE262" s="2297"/>
      <c r="FF262" s="2297"/>
      <c r="FG262" s="2297"/>
      <c r="FH262" s="2297"/>
      <c r="FI262" s="2297"/>
      <c r="FJ262" s="2297"/>
      <c r="FK262" s="2297"/>
      <c r="FL262" s="2297"/>
      <c r="FM262" s="2297"/>
      <c r="FN262" s="2297"/>
      <c r="FO262" s="2297"/>
      <c r="FP262" s="2297"/>
      <c r="FQ262" s="2297"/>
      <c r="FR262" s="2297"/>
      <c r="FS262" s="2297"/>
      <c r="FT262" s="2297"/>
      <c r="FU262" s="2297"/>
      <c r="FV262" s="2297"/>
      <c r="FW262" s="2297"/>
      <c r="FX262" s="2297"/>
      <c r="FY262" s="2297"/>
      <c r="FZ262" s="2297"/>
      <c r="GA262" s="2297"/>
      <c r="GB262" s="2297"/>
      <c r="GC262" s="2297"/>
      <c r="GD262" s="2297"/>
      <c r="GE262" s="2297"/>
      <c r="GF262" s="2297"/>
      <c r="GG262" s="2297"/>
      <c r="GH262" s="2297"/>
      <c r="GI262" s="2297"/>
      <c r="GJ262" s="2297"/>
      <c r="GK262" s="2297"/>
      <c r="GL262" s="2297"/>
      <c r="GM262" s="2297"/>
      <c r="GN262" s="2297"/>
      <c r="GO262" s="2297"/>
      <c r="GP262" s="2297"/>
      <c r="GQ262" s="2297"/>
      <c r="GR262" s="2297"/>
      <c r="GS262" s="2297"/>
      <c r="GT262" s="2297"/>
      <c r="GU262" s="2297"/>
      <c r="GV262" s="2297"/>
      <c r="GW262" s="2297"/>
      <c r="GX262" s="2297"/>
      <c r="GY262" s="2297"/>
      <c r="GZ262" s="2297"/>
      <c r="HA262" s="2297"/>
      <c r="HB262" s="2297"/>
      <c r="HC262" s="2297"/>
      <c r="HD262" s="2297"/>
      <c r="HE262" s="2297"/>
      <c r="HF262" s="2297"/>
      <c r="HG262" s="2297"/>
      <c r="HH262" s="2297"/>
      <c r="HI262" s="2297"/>
      <c r="HJ262" s="2297"/>
      <c r="HK262" s="2297"/>
      <c r="HL262" s="2297"/>
      <c r="HM262" s="2297"/>
      <c r="HN262" s="2297"/>
      <c r="HO262" s="2297"/>
      <c r="HP262" s="2297"/>
      <c r="HQ262" s="2297"/>
      <c r="HR262" s="2297"/>
      <c r="HS262" s="2297"/>
      <c r="HT262" s="2297"/>
      <c r="HU262" s="2297"/>
      <c r="HV262" s="2297"/>
      <c r="HW262" s="2297"/>
      <c r="HX262" s="2297"/>
      <c r="HY262" s="2297"/>
      <c r="HZ262" s="2297"/>
      <c r="IA262" s="2297"/>
      <c r="IB262" s="2297"/>
      <c r="IC262" s="2297"/>
      <c r="ID262" s="2297"/>
      <c r="IE262" s="2297"/>
      <c r="IF262" s="2297"/>
      <c r="IG262" s="2297"/>
      <c r="IH262" s="2297"/>
      <c r="II262" s="2297"/>
      <c r="IJ262" s="2297"/>
      <c r="IK262" s="2297"/>
      <c r="IL262" s="2297"/>
      <c r="IM262" s="2297"/>
      <c r="IN262" s="2297"/>
      <c r="IO262" s="2297"/>
      <c r="IP262" s="2297"/>
      <c r="IQ262" s="2297"/>
      <c r="IR262" s="2297"/>
      <c r="IS262" s="2297"/>
      <c r="IT262" s="2297"/>
      <c r="IU262" s="2297"/>
      <c r="IV262" s="2297"/>
    </row>
    <row r="263" spans="3:256">
      <c r="C263" s="2298"/>
      <c r="D263" s="2298"/>
      <c r="E263" s="2298"/>
      <c r="F263" s="2298"/>
      <c r="G263" s="2298"/>
      <c r="H263" s="2298"/>
      <c r="AC263" s="2297"/>
      <c r="AD263" s="2297"/>
      <c r="AE263" s="2297"/>
      <c r="AF263" s="2297"/>
      <c r="AG263" s="2297"/>
      <c r="AH263" s="2297"/>
      <c r="AI263" s="2297"/>
      <c r="AJ263" s="2297"/>
      <c r="AK263" s="2297"/>
      <c r="AL263" s="2297"/>
      <c r="AM263" s="2297"/>
      <c r="AN263" s="2297"/>
      <c r="AO263" s="2297"/>
      <c r="AP263" s="2297"/>
      <c r="AQ263" s="2297"/>
      <c r="AR263" s="2297"/>
      <c r="AS263" s="2297"/>
      <c r="AT263" s="2297"/>
      <c r="AU263" s="2297"/>
      <c r="AV263" s="2297"/>
      <c r="AW263" s="2297"/>
      <c r="AX263" s="2297"/>
      <c r="AY263" s="2297"/>
      <c r="AZ263" s="2297"/>
      <c r="BA263" s="2297"/>
      <c r="BB263" s="2297"/>
      <c r="BC263" s="2297"/>
      <c r="BD263" s="2297"/>
      <c r="BE263" s="2297"/>
      <c r="BF263" s="2297"/>
      <c r="BG263" s="2297"/>
      <c r="BH263" s="2297"/>
      <c r="BI263" s="2297"/>
      <c r="BJ263" s="2297"/>
      <c r="BK263" s="2297"/>
      <c r="BL263" s="2297"/>
      <c r="BM263" s="2297"/>
      <c r="BN263" s="2297"/>
      <c r="BO263" s="2297"/>
      <c r="BP263" s="2297"/>
      <c r="BQ263" s="2297"/>
      <c r="BR263" s="2297"/>
      <c r="BS263" s="2297"/>
      <c r="BT263" s="2297"/>
      <c r="BU263" s="2297"/>
      <c r="BV263" s="2297"/>
      <c r="BW263" s="2297"/>
      <c r="BX263" s="2297"/>
      <c r="BY263" s="2297"/>
      <c r="BZ263" s="2297"/>
      <c r="CA263" s="2297"/>
      <c r="CB263" s="2297"/>
      <c r="CC263" s="2297"/>
      <c r="CD263" s="2297"/>
      <c r="CE263" s="2297"/>
      <c r="CF263" s="2297"/>
      <c r="CG263" s="2297"/>
      <c r="CH263" s="2297"/>
      <c r="CI263" s="2297"/>
      <c r="CJ263" s="2297"/>
      <c r="CK263" s="2297"/>
      <c r="CL263" s="2297"/>
      <c r="CM263" s="2297"/>
      <c r="CN263" s="2297"/>
      <c r="CO263" s="2297"/>
      <c r="CP263" s="2297"/>
      <c r="CQ263" s="2297"/>
      <c r="CR263" s="2297"/>
      <c r="CS263" s="2297"/>
      <c r="CT263" s="2297"/>
      <c r="CU263" s="2297"/>
      <c r="CV263" s="2297"/>
      <c r="CW263" s="2297"/>
      <c r="CX263" s="2297"/>
      <c r="CY263" s="2297"/>
      <c r="CZ263" s="2297"/>
      <c r="DA263" s="2297"/>
      <c r="DB263" s="2297"/>
      <c r="DC263" s="2297"/>
      <c r="DD263" s="2297"/>
      <c r="DE263" s="2297"/>
      <c r="DF263" s="2297"/>
      <c r="DG263" s="2297"/>
      <c r="DH263" s="2297"/>
      <c r="DI263" s="2297"/>
      <c r="DJ263" s="2297"/>
      <c r="DK263" s="2297"/>
      <c r="DL263" s="2297"/>
      <c r="DM263" s="2297"/>
      <c r="DN263" s="2297"/>
      <c r="DO263" s="2297"/>
      <c r="DP263" s="2297"/>
      <c r="DQ263" s="2297"/>
      <c r="DR263" s="2297"/>
      <c r="DS263" s="2297"/>
      <c r="DT263" s="2297"/>
      <c r="DU263" s="2297"/>
      <c r="DV263" s="2297"/>
      <c r="DW263" s="2297"/>
      <c r="DX263" s="2297"/>
      <c r="DY263" s="2297"/>
      <c r="DZ263" s="2297"/>
      <c r="EA263" s="2297"/>
      <c r="EB263" s="2297"/>
      <c r="EC263" s="2297"/>
      <c r="ED263" s="2297"/>
      <c r="EE263" s="2297"/>
      <c r="EF263" s="2297"/>
      <c r="EG263" s="2297"/>
      <c r="EH263" s="2297"/>
      <c r="EI263" s="2297"/>
      <c r="EJ263" s="2297"/>
      <c r="EK263" s="2297"/>
      <c r="EL263" s="2297"/>
      <c r="EM263" s="2297"/>
      <c r="EN263" s="2297"/>
      <c r="EO263" s="2297"/>
      <c r="EP263" s="2297"/>
      <c r="EQ263" s="2297"/>
      <c r="ER263" s="2297"/>
      <c r="ES263" s="2297"/>
      <c r="ET263" s="2297"/>
      <c r="EU263" s="2297"/>
      <c r="EV263" s="2297"/>
      <c r="EW263" s="2297"/>
      <c r="EX263" s="2297"/>
      <c r="EY263" s="2297"/>
      <c r="EZ263" s="2297"/>
      <c r="FA263" s="2297"/>
      <c r="FB263" s="2297"/>
      <c r="FC263" s="2297"/>
      <c r="FD263" s="2297"/>
      <c r="FE263" s="2297"/>
      <c r="FF263" s="2297"/>
      <c r="FG263" s="2297"/>
      <c r="FH263" s="2297"/>
      <c r="FI263" s="2297"/>
      <c r="FJ263" s="2297"/>
      <c r="FK263" s="2297"/>
      <c r="FL263" s="2297"/>
      <c r="FM263" s="2297"/>
      <c r="FN263" s="2297"/>
      <c r="FO263" s="2297"/>
      <c r="FP263" s="2297"/>
      <c r="FQ263" s="2297"/>
      <c r="FR263" s="2297"/>
      <c r="FS263" s="2297"/>
      <c r="FT263" s="2297"/>
      <c r="FU263" s="2297"/>
      <c r="FV263" s="2297"/>
      <c r="FW263" s="2297"/>
      <c r="FX263" s="2297"/>
      <c r="FY263" s="2297"/>
      <c r="FZ263" s="2297"/>
      <c r="GA263" s="2297"/>
      <c r="GB263" s="2297"/>
      <c r="GC263" s="2297"/>
      <c r="GD263" s="2297"/>
      <c r="GE263" s="2297"/>
      <c r="GF263" s="2297"/>
      <c r="GG263" s="2297"/>
      <c r="GH263" s="2297"/>
      <c r="GI263" s="2297"/>
      <c r="GJ263" s="2297"/>
      <c r="GK263" s="2297"/>
      <c r="GL263" s="2297"/>
      <c r="GM263" s="2297"/>
      <c r="GN263" s="2297"/>
      <c r="GO263" s="2297"/>
      <c r="GP263" s="2297"/>
      <c r="GQ263" s="2297"/>
      <c r="GR263" s="2297"/>
      <c r="GS263" s="2297"/>
      <c r="GT263" s="2297"/>
      <c r="GU263" s="2297"/>
      <c r="GV263" s="2297"/>
      <c r="GW263" s="2297"/>
      <c r="GX263" s="2297"/>
      <c r="GY263" s="2297"/>
      <c r="GZ263" s="2297"/>
      <c r="HA263" s="2297"/>
      <c r="HB263" s="2297"/>
      <c r="HC263" s="2297"/>
      <c r="HD263" s="2297"/>
      <c r="HE263" s="2297"/>
      <c r="HF263" s="2297"/>
      <c r="HG263" s="2297"/>
      <c r="HH263" s="2297"/>
      <c r="HI263" s="2297"/>
      <c r="HJ263" s="2297"/>
      <c r="HK263" s="2297"/>
      <c r="HL263" s="2297"/>
      <c r="HM263" s="2297"/>
      <c r="HN263" s="2297"/>
      <c r="HO263" s="2297"/>
      <c r="HP263" s="2297"/>
      <c r="HQ263" s="2297"/>
      <c r="HR263" s="2297"/>
      <c r="HS263" s="2297"/>
      <c r="HT263" s="2297"/>
      <c r="HU263" s="2297"/>
      <c r="HV263" s="2297"/>
      <c r="HW263" s="2297"/>
      <c r="HX263" s="2297"/>
      <c r="HY263" s="2297"/>
      <c r="HZ263" s="2297"/>
      <c r="IA263" s="2297"/>
      <c r="IB263" s="2297"/>
      <c r="IC263" s="2297"/>
      <c r="ID263" s="2297"/>
      <c r="IE263" s="2297"/>
      <c r="IF263" s="2297"/>
      <c r="IG263" s="2297"/>
      <c r="IH263" s="2297"/>
      <c r="II263" s="2297"/>
      <c r="IJ263" s="2297"/>
      <c r="IK263" s="2297"/>
      <c r="IL263" s="2297"/>
      <c r="IM263" s="2297"/>
      <c r="IN263" s="2297"/>
      <c r="IO263" s="2297"/>
      <c r="IP263" s="2297"/>
      <c r="IQ263" s="2297"/>
      <c r="IR263" s="2297"/>
      <c r="IS263" s="2297"/>
      <c r="IT263" s="2297"/>
      <c r="IU263" s="2297"/>
      <c r="IV263" s="2297"/>
    </row>
    <row r="264" spans="3:256">
      <c r="C264" s="2298"/>
      <c r="D264" s="2298"/>
      <c r="E264" s="2298"/>
      <c r="F264" s="2298"/>
      <c r="G264" s="2298"/>
      <c r="H264" s="2298"/>
      <c r="AC264" s="2297"/>
      <c r="AD264" s="2297"/>
      <c r="AE264" s="2297"/>
      <c r="AF264" s="2297"/>
      <c r="AG264" s="2297"/>
      <c r="AH264" s="2297"/>
      <c r="AI264" s="2297"/>
      <c r="AJ264" s="2297"/>
      <c r="AK264" s="2297"/>
      <c r="AL264" s="2297"/>
      <c r="AM264" s="2297"/>
      <c r="AN264" s="2297"/>
      <c r="AO264" s="2297"/>
      <c r="AP264" s="2297"/>
      <c r="AQ264" s="2297"/>
      <c r="AR264" s="2297"/>
      <c r="AS264" s="2297"/>
      <c r="AT264" s="2297"/>
      <c r="AU264" s="2297"/>
      <c r="AV264" s="2297"/>
      <c r="AW264" s="2297"/>
      <c r="AX264" s="2297"/>
      <c r="AY264" s="2297"/>
      <c r="AZ264" s="2297"/>
      <c r="BA264" s="2297"/>
      <c r="BB264" s="2297"/>
      <c r="BC264" s="2297"/>
      <c r="BD264" s="2297"/>
      <c r="BE264" s="2297"/>
      <c r="BF264" s="2297"/>
      <c r="BG264" s="2297"/>
      <c r="BH264" s="2297"/>
      <c r="BI264" s="2297"/>
      <c r="BJ264" s="2297"/>
      <c r="BK264" s="2297"/>
      <c r="BL264" s="2297"/>
      <c r="BM264" s="2297"/>
      <c r="BN264" s="2297"/>
      <c r="BO264" s="2297"/>
      <c r="BP264" s="2297"/>
      <c r="BQ264" s="2297"/>
      <c r="BR264" s="2297"/>
      <c r="BS264" s="2297"/>
      <c r="BT264" s="2297"/>
      <c r="BU264" s="2297"/>
      <c r="BV264" s="2297"/>
      <c r="BW264" s="2297"/>
      <c r="BX264" s="2297"/>
      <c r="BY264" s="2297"/>
      <c r="BZ264" s="2297"/>
      <c r="CA264" s="2297"/>
      <c r="CB264" s="2297"/>
      <c r="CC264" s="2297"/>
      <c r="CD264" s="2297"/>
      <c r="CE264" s="2297"/>
      <c r="CF264" s="2297"/>
      <c r="CG264" s="2297"/>
      <c r="CH264" s="2297"/>
      <c r="CI264" s="2297"/>
      <c r="CJ264" s="2297"/>
      <c r="CK264" s="2297"/>
      <c r="CL264" s="2297"/>
      <c r="CM264" s="2297"/>
      <c r="CN264" s="2297"/>
      <c r="CO264" s="2297"/>
      <c r="CP264" s="2297"/>
      <c r="CQ264" s="2297"/>
      <c r="CR264" s="2297"/>
      <c r="CS264" s="2297"/>
      <c r="CT264" s="2297"/>
      <c r="CU264" s="2297"/>
      <c r="CV264" s="2297"/>
      <c r="CW264" s="2297"/>
      <c r="CX264" s="2297"/>
      <c r="CY264" s="2297"/>
      <c r="CZ264" s="2297"/>
      <c r="DA264" s="2297"/>
      <c r="DB264" s="2297"/>
      <c r="DC264" s="2297"/>
      <c r="DD264" s="2297"/>
      <c r="DE264" s="2297"/>
      <c r="DF264" s="2297"/>
      <c r="DG264" s="2297"/>
      <c r="DH264" s="2297"/>
      <c r="DI264" s="2297"/>
      <c r="DJ264" s="2297"/>
      <c r="DK264" s="2297"/>
      <c r="DL264" s="2297"/>
      <c r="DM264" s="2297"/>
      <c r="DN264" s="2297"/>
      <c r="DO264" s="2297"/>
      <c r="DP264" s="2297"/>
      <c r="DQ264" s="2297"/>
      <c r="DR264" s="2297"/>
      <c r="DS264" s="2297"/>
      <c r="DT264" s="2297"/>
      <c r="DU264" s="2297"/>
      <c r="DV264" s="2297"/>
      <c r="DW264" s="2297"/>
      <c r="DX264" s="2297"/>
      <c r="DY264" s="2297"/>
      <c r="DZ264" s="2297"/>
      <c r="EA264" s="2297"/>
      <c r="EB264" s="2297"/>
      <c r="EC264" s="2297"/>
      <c r="ED264" s="2297"/>
      <c r="EE264" s="2297"/>
      <c r="EF264" s="2297"/>
      <c r="EG264" s="2297"/>
      <c r="EH264" s="2297"/>
      <c r="EI264" s="2297"/>
      <c r="EJ264" s="2297"/>
      <c r="EK264" s="2297"/>
      <c r="EL264" s="2297"/>
      <c r="EM264" s="2297"/>
      <c r="EN264" s="2297"/>
      <c r="EO264" s="2297"/>
      <c r="EP264" s="2297"/>
      <c r="EQ264" s="2297"/>
      <c r="ER264" s="2297"/>
      <c r="ES264" s="2297"/>
      <c r="ET264" s="2297"/>
      <c r="EU264" s="2297"/>
      <c r="EV264" s="2297"/>
      <c r="EW264" s="2297"/>
      <c r="EX264" s="2297"/>
      <c r="EY264" s="2297"/>
      <c r="EZ264" s="2297"/>
      <c r="FA264" s="2297"/>
      <c r="FB264" s="2297"/>
      <c r="FC264" s="2297"/>
      <c r="FD264" s="2297"/>
      <c r="FE264" s="2297"/>
      <c r="FF264" s="2297"/>
      <c r="FG264" s="2297"/>
      <c r="FH264" s="2297"/>
      <c r="FI264" s="2297"/>
      <c r="FJ264" s="2297"/>
      <c r="FK264" s="2297"/>
      <c r="FL264" s="2297"/>
      <c r="FM264" s="2297"/>
      <c r="FN264" s="2297"/>
      <c r="FO264" s="2297"/>
      <c r="FP264" s="2297"/>
      <c r="FQ264" s="2297"/>
      <c r="FR264" s="2297"/>
      <c r="FS264" s="2297"/>
      <c r="FT264" s="2297"/>
      <c r="FU264" s="2297"/>
      <c r="FV264" s="2297"/>
      <c r="FW264" s="2297"/>
      <c r="FX264" s="2297"/>
      <c r="FY264" s="2297"/>
      <c r="FZ264" s="2297"/>
      <c r="GA264" s="2297"/>
      <c r="GB264" s="2297"/>
      <c r="GC264" s="2297"/>
      <c r="GD264" s="2297"/>
      <c r="GE264" s="2297"/>
      <c r="GF264" s="2297"/>
      <c r="GG264" s="2297"/>
      <c r="GH264" s="2297"/>
      <c r="GI264" s="2297"/>
      <c r="GJ264" s="2297"/>
      <c r="GK264" s="2297"/>
      <c r="GL264" s="2297"/>
      <c r="GM264" s="2297"/>
      <c r="GN264" s="2297"/>
      <c r="GO264" s="2297"/>
      <c r="GP264" s="2297"/>
      <c r="GQ264" s="2297"/>
      <c r="GR264" s="2297"/>
      <c r="GS264" s="2297"/>
      <c r="GT264" s="2297"/>
      <c r="GU264" s="2297"/>
      <c r="GV264" s="2297"/>
      <c r="GW264" s="2297"/>
      <c r="GX264" s="2297"/>
      <c r="GY264" s="2297"/>
      <c r="GZ264" s="2297"/>
      <c r="HA264" s="2297"/>
      <c r="HB264" s="2297"/>
      <c r="HC264" s="2297"/>
      <c r="HD264" s="2297"/>
      <c r="HE264" s="2297"/>
      <c r="HF264" s="2297"/>
      <c r="HG264" s="2297"/>
      <c r="HH264" s="2297"/>
      <c r="HI264" s="2297"/>
      <c r="HJ264" s="2297"/>
      <c r="HK264" s="2297"/>
      <c r="HL264" s="2297"/>
      <c r="HM264" s="2297"/>
      <c r="HN264" s="2297"/>
      <c r="HO264" s="2297"/>
      <c r="HP264" s="2297"/>
      <c r="HQ264" s="2297"/>
      <c r="HR264" s="2297"/>
      <c r="HS264" s="2297"/>
      <c r="HT264" s="2297"/>
      <c r="HU264" s="2297"/>
      <c r="HV264" s="2297"/>
      <c r="HW264" s="2297"/>
      <c r="HX264" s="2297"/>
      <c r="HY264" s="2297"/>
      <c r="HZ264" s="2297"/>
      <c r="IA264" s="2297"/>
      <c r="IB264" s="2297"/>
      <c r="IC264" s="2297"/>
      <c r="ID264" s="2297"/>
      <c r="IE264" s="2297"/>
      <c r="IF264" s="2297"/>
      <c r="IG264" s="2297"/>
      <c r="IH264" s="2297"/>
      <c r="II264" s="2297"/>
      <c r="IJ264" s="2297"/>
      <c r="IK264" s="2297"/>
      <c r="IL264" s="2297"/>
      <c r="IM264" s="2297"/>
      <c r="IN264" s="2297"/>
      <c r="IO264" s="2297"/>
      <c r="IP264" s="2297"/>
      <c r="IQ264" s="2297"/>
      <c r="IR264" s="2297"/>
      <c r="IS264" s="2297"/>
      <c r="IT264" s="2297"/>
      <c r="IU264" s="2297"/>
      <c r="IV264" s="2297"/>
    </row>
    <row r="265" spans="3:256">
      <c r="C265" s="2298"/>
      <c r="D265" s="2298"/>
      <c r="E265" s="2298"/>
      <c r="F265" s="2298"/>
      <c r="G265" s="2298"/>
      <c r="H265" s="2298"/>
      <c r="AC265" s="2297"/>
      <c r="AD265" s="2297"/>
      <c r="AE265" s="2297"/>
      <c r="AF265" s="2297"/>
      <c r="AG265" s="2297"/>
      <c r="AH265" s="2297"/>
      <c r="AI265" s="2297"/>
      <c r="AJ265" s="2297"/>
      <c r="AK265" s="2297"/>
      <c r="AL265" s="2297"/>
      <c r="AM265" s="2297"/>
      <c r="AN265" s="2297"/>
      <c r="AO265" s="2297"/>
      <c r="AP265" s="2297"/>
      <c r="AQ265" s="2297"/>
      <c r="AR265" s="2297"/>
      <c r="AS265" s="2297"/>
      <c r="AT265" s="2297"/>
      <c r="AU265" s="2297"/>
      <c r="AV265" s="2297"/>
      <c r="AW265" s="2297"/>
      <c r="AX265" s="2297"/>
      <c r="AY265" s="2297"/>
      <c r="AZ265" s="2297"/>
      <c r="BA265" s="2297"/>
      <c r="BB265" s="2297"/>
      <c r="BC265" s="2297"/>
      <c r="BD265" s="2297"/>
      <c r="BE265" s="2297"/>
      <c r="BF265" s="2297"/>
      <c r="BG265" s="2297"/>
      <c r="BH265" s="2297"/>
      <c r="BI265" s="2297"/>
      <c r="BJ265" s="2297"/>
      <c r="BK265" s="2297"/>
      <c r="BL265" s="2297"/>
      <c r="BM265" s="2297"/>
      <c r="BN265" s="2297"/>
      <c r="BO265" s="2297"/>
      <c r="BP265" s="2297"/>
      <c r="BQ265" s="2297"/>
      <c r="BR265" s="2297"/>
      <c r="BS265" s="2297"/>
      <c r="BT265" s="2297"/>
      <c r="BU265" s="2297"/>
      <c r="BV265" s="2297"/>
      <c r="BW265" s="2297"/>
      <c r="BX265" s="2297"/>
      <c r="BY265" s="2297"/>
      <c r="BZ265" s="2297"/>
      <c r="CA265" s="2297"/>
      <c r="CB265" s="2297"/>
      <c r="CC265" s="2297"/>
      <c r="CD265" s="2297"/>
      <c r="CE265" s="2297"/>
      <c r="CF265" s="2297"/>
      <c r="CG265" s="2297"/>
      <c r="CH265" s="2297"/>
      <c r="CI265" s="2297"/>
      <c r="CJ265" s="2297"/>
      <c r="CK265" s="2297"/>
      <c r="CL265" s="2297"/>
      <c r="CM265" s="2297"/>
      <c r="CN265" s="2297"/>
      <c r="CO265" s="2297"/>
      <c r="CP265" s="2297"/>
      <c r="CQ265" s="2297"/>
      <c r="CR265" s="2297"/>
      <c r="CS265" s="2297"/>
      <c r="CT265" s="2297"/>
      <c r="CU265" s="2297"/>
      <c r="CV265" s="2297"/>
      <c r="CW265" s="2297"/>
      <c r="CX265" s="2297"/>
      <c r="CY265" s="2297"/>
      <c r="CZ265" s="2297"/>
      <c r="DA265" s="2297"/>
      <c r="DB265" s="2297"/>
      <c r="DC265" s="2297"/>
      <c r="DD265" s="2297"/>
      <c r="DE265" s="2297"/>
      <c r="DF265" s="2297"/>
      <c r="DG265" s="2297"/>
      <c r="DH265" s="2297"/>
      <c r="DI265" s="2297"/>
      <c r="DJ265" s="2297"/>
      <c r="DK265" s="2297"/>
      <c r="DL265" s="2297"/>
      <c r="DM265" s="2297"/>
      <c r="DN265" s="2297"/>
      <c r="DO265" s="2297"/>
      <c r="DP265" s="2297"/>
      <c r="DQ265" s="2297"/>
      <c r="DR265" s="2297"/>
      <c r="DS265" s="2297"/>
      <c r="DT265" s="2297"/>
      <c r="DU265" s="2297"/>
      <c r="DV265" s="2297"/>
      <c r="DW265" s="2297"/>
      <c r="DX265" s="2297"/>
      <c r="DY265" s="2297"/>
      <c r="DZ265" s="2297"/>
      <c r="EA265" s="2297"/>
      <c r="EB265" s="2297"/>
      <c r="EC265" s="2297"/>
      <c r="ED265" s="2297"/>
      <c r="EE265" s="2297"/>
      <c r="EF265" s="2297"/>
      <c r="EG265" s="2297"/>
      <c r="EH265" s="2297"/>
      <c r="EI265" s="2297"/>
      <c r="EJ265" s="2297"/>
      <c r="EK265" s="2297"/>
      <c r="EL265" s="2297"/>
      <c r="EM265" s="2297"/>
      <c r="EN265" s="2297"/>
      <c r="EO265" s="2297"/>
      <c r="EP265" s="2297"/>
      <c r="EQ265" s="2297"/>
      <c r="ER265" s="2297"/>
      <c r="ES265" s="2297"/>
      <c r="ET265" s="2297"/>
      <c r="EU265" s="2297"/>
      <c r="EV265" s="2297"/>
      <c r="EW265" s="2297"/>
      <c r="EX265" s="2297"/>
      <c r="EY265" s="2297"/>
      <c r="EZ265" s="2297"/>
      <c r="FA265" s="2297"/>
      <c r="FB265" s="2297"/>
      <c r="FC265" s="2297"/>
      <c r="FD265" s="2297"/>
      <c r="FE265" s="2297"/>
      <c r="FF265" s="2297"/>
      <c r="FG265" s="2297"/>
      <c r="FH265" s="2297"/>
      <c r="FI265" s="2297"/>
      <c r="FJ265" s="2297"/>
      <c r="FK265" s="2297"/>
      <c r="FL265" s="2297"/>
      <c r="FM265" s="2297"/>
      <c r="FN265" s="2297"/>
      <c r="FO265" s="2297"/>
      <c r="FP265" s="2297"/>
      <c r="FQ265" s="2297"/>
      <c r="FR265" s="2297"/>
      <c r="FS265" s="2297"/>
      <c r="FT265" s="2297"/>
      <c r="FU265" s="2297"/>
      <c r="FV265" s="2297"/>
      <c r="FW265" s="2297"/>
      <c r="FX265" s="2297"/>
      <c r="FY265" s="2297"/>
      <c r="FZ265" s="2297"/>
      <c r="GA265" s="2297"/>
      <c r="GB265" s="2297"/>
      <c r="GC265" s="2297"/>
      <c r="GD265" s="2297"/>
      <c r="GE265" s="2297"/>
      <c r="GF265" s="2297"/>
      <c r="GG265" s="2297"/>
      <c r="GH265" s="2297"/>
      <c r="GI265" s="2297"/>
      <c r="GJ265" s="2297"/>
      <c r="GK265" s="2297"/>
      <c r="GL265" s="2297"/>
      <c r="GM265" s="2297"/>
      <c r="GN265" s="2297"/>
      <c r="GO265" s="2297"/>
      <c r="GP265" s="2297"/>
      <c r="GQ265" s="2297"/>
      <c r="GR265" s="2297"/>
      <c r="GS265" s="2297"/>
      <c r="GT265" s="2297"/>
      <c r="GU265" s="2297"/>
      <c r="GV265" s="2297"/>
      <c r="GW265" s="2297"/>
      <c r="GX265" s="2297"/>
      <c r="GY265" s="2297"/>
      <c r="GZ265" s="2297"/>
      <c r="HA265" s="2297"/>
      <c r="HB265" s="2297"/>
      <c r="HC265" s="2297"/>
      <c r="HD265" s="2297"/>
      <c r="HE265" s="2297"/>
      <c r="HF265" s="2297"/>
      <c r="HG265" s="2297"/>
      <c r="HH265" s="2297"/>
      <c r="HI265" s="2297"/>
      <c r="HJ265" s="2297"/>
      <c r="HK265" s="2297"/>
      <c r="HL265" s="2297"/>
      <c r="HM265" s="2297"/>
      <c r="HN265" s="2297"/>
      <c r="HO265" s="2297"/>
      <c r="HP265" s="2297"/>
      <c r="HQ265" s="2297"/>
      <c r="HR265" s="2297"/>
      <c r="HS265" s="2297"/>
      <c r="HT265" s="2297"/>
      <c r="HU265" s="2297"/>
      <c r="HV265" s="2297"/>
      <c r="HW265" s="2297"/>
      <c r="HX265" s="2297"/>
      <c r="HY265" s="2297"/>
      <c r="HZ265" s="2297"/>
      <c r="IA265" s="2297"/>
      <c r="IB265" s="2297"/>
      <c r="IC265" s="2297"/>
      <c r="ID265" s="2297"/>
      <c r="IE265" s="2297"/>
      <c r="IF265" s="2297"/>
      <c r="IG265" s="2297"/>
      <c r="IH265" s="2297"/>
      <c r="II265" s="2297"/>
      <c r="IJ265" s="2297"/>
      <c r="IK265" s="2297"/>
      <c r="IL265" s="2297"/>
      <c r="IM265" s="2297"/>
      <c r="IN265" s="2297"/>
      <c r="IO265" s="2297"/>
      <c r="IP265" s="2297"/>
      <c r="IQ265" s="2297"/>
      <c r="IR265" s="2297"/>
      <c r="IS265" s="2297"/>
      <c r="IT265" s="2297"/>
      <c r="IU265" s="2297"/>
      <c r="IV265" s="2297"/>
    </row>
    <row r="266" spans="3:256">
      <c r="C266" s="2298"/>
      <c r="D266" s="2298"/>
      <c r="E266" s="2298"/>
      <c r="F266" s="2298"/>
      <c r="G266" s="2298"/>
      <c r="H266" s="2298"/>
      <c r="AC266" s="2297"/>
      <c r="AD266" s="2297"/>
      <c r="AE266" s="2297"/>
      <c r="AF266" s="2297"/>
      <c r="AG266" s="2297"/>
      <c r="AH266" s="2297"/>
      <c r="AI266" s="2297"/>
      <c r="AJ266" s="2297"/>
      <c r="AK266" s="2297"/>
      <c r="AL266" s="2297"/>
      <c r="AM266" s="2297"/>
      <c r="AN266" s="2297"/>
      <c r="AO266" s="2297"/>
      <c r="AP266" s="2297"/>
      <c r="AQ266" s="2297"/>
      <c r="AR266" s="2297"/>
      <c r="AS266" s="2297"/>
      <c r="AT266" s="2297"/>
      <c r="AU266" s="2297"/>
      <c r="AV266" s="2297"/>
      <c r="AW266" s="2297"/>
      <c r="AX266" s="2297"/>
      <c r="AY266" s="2297"/>
      <c r="AZ266" s="2297"/>
      <c r="BA266" s="2297"/>
      <c r="BB266" s="2297"/>
      <c r="BC266" s="2297"/>
      <c r="BD266" s="2297"/>
      <c r="BE266" s="2297"/>
      <c r="BF266" s="2297"/>
      <c r="BG266" s="2297"/>
      <c r="BH266" s="2297"/>
      <c r="BI266" s="2297"/>
      <c r="BJ266" s="2297"/>
      <c r="BK266" s="2297"/>
      <c r="BL266" s="2297"/>
      <c r="BM266" s="2297"/>
      <c r="BN266" s="2297"/>
      <c r="BO266" s="2297"/>
      <c r="BP266" s="2297"/>
      <c r="BQ266" s="2297"/>
      <c r="BR266" s="2297"/>
      <c r="BS266" s="2297"/>
      <c r="BT266" s="2297"/>
      <c r="BU266" s="2297"/>
      <c r="BV266" s="2297"/>
      <c r="BW266" s="2297"/>
      <c r="BX266" s="2297"/>
      <c r="BY266" s="2297"/>
      <c r="BZ266" s="2297"/>
      <c r="CA266" s="2297"/>
      <c r="CB266" s="2297"/>
      <c r="CC266" s="2297"/>
      <c r="CD266" s="2297"/>
      <c r="CE266" s="2297"/>
      <c r="CF266" s="2297"/>
      <c r="CG266" s="2297"/>
      <c r="CH266" s="2297"/>
      <c r="CI266" s="2297"/>
      <c r="CJ266" s="2297"/>
      <c r="CK266" s="2297"/>
      <c r="CL266" s="2297"/>
      <c r="CM266" s="2297"/>
      <c r="CN266" s="2297"/>
      <c r="CO266" s="2297"/>
      <c r="CP266" s="2297"/>
      <c r="CQ266" s="2297"/>
      <c r="CR266" s="2297"/>
      <c r="CS266" s="2297"/>
      <c r="CT266" s="2297"/>
      <c r="CU266" s="2297"/>
      <c r="CV266" s="2297"/>
      <c r="CW266" s="2297"/>
      <c r="CX266" s="2297"/>
      <c r="CY266" s="2297"/>
      <c r="CZ266" s="2297"/>
      <c r="DA266" s="2297"/>
      <c r="DB266" s="2297"/>
      <c r="DC266" s="2297"/>
      <c r="DD266" s="2297"/>
      <c r="DE266" s="2297"/>
      <c r="DF266" s="2297"/>
      <c r="DG266" s="2297"/>
      <c r="DH266" s="2297"/>
      <c r="DI266" s="2297"/>
      <c r="DJ266" s="2297"/>
      <c r="DK266" s="2297"/>
      <c r="DL266" s="2297"/>
      <c r="DM266" s="2297"/>
      <c r="DN266" s="2297"/>
      <c r="DO266" s="2297"/>
      <c r="DP266" s="2297"/>
      <c r="DQ266" s="2297"/>
      <c r="DR266" s="2297"/>
      <c r="DS266" s="2297"/>
      <c r="DT266" s="2297"/>
      <c r="DU266" s="2297"/>
      <c r="DV266" s="2297"/>
      <c r="DW266" s="2297"/>
      <c r="DX266" s="2297"/>
      <c r="DY266" s="2297"/>
      <c r="DZ266" s="2297"/>
      <c r="EA266" s="2297"/>
      <c r="EB266" s="2297"/>
      <c r="EC266" s="2297"/>
      <c r="ED266" s="2297"/>
      <c r="EE266" s="2297"/>
      <c r="EF266" s="2297"/>
      <c r="EG266" s="2297"/>
      <c r="EH266" s="2297"/>
      <c r="EI266" s="2297"/>
      <c r="EJ266" s="2297"/>
      <c r="EK266" s="2297"/>
      <c r="EL266" s="2297"/>
      <c r="EM266" s="2297"/>
      <c r="EN266" s="2297"/>
      <c r="EO266" s="2297"/>
      <c r="EP266" s="2297"/>
      <c r="EQ266" s="2297"/>
      <c r="ER266" s="2297"/>
      <c r="ES266" s="2297"/>
      <c r="ET266" s="2297"/>
      <c r="EU266" s="2297"/>
      <c r="EV266" s="2297"/>
      <c r="EW266" s="2297"/>
      <c r="EX266" s="2297"/>
      <c r="EY266" s="2297"/>
      <c r="EZ266" s="2297"/>
      <c r="FA266" s="2297"/>
      <c r="FB266" s="2297"/>
      <c r="FC266" s="2297"/>
      <c r="FD266" s="2297"/>
      <c r="FE266" s="2297"/>
      <c r="FF266" s="2297"/>
      <c r="FG266" s="2297"/>
      <c r="FH266" s="2297"/>
      <c r="FI266" s="2297"/>
      <c r="FJ266" s="2297"/>
      <c r="FK266" s="2297"/>
      <c r="FL266" s="2297"/>
      <c r="FM266" s="2297"/>
      <c r="FN266" s="2297"/>
      <c r="FO266" s="2297"/>
      <c r="FP266" s="2297"/>
      <c r="FQ266" s="2297"/>
      <c r="FR266" s="2297"/>
      <c r="FS266" s="2297"/>
      <c r="FT266" s="2297"/>
      <c r="FU266" s="2297"/>
      <c r="FV266" s="2297"/>
      <c r="FW266" s="2297"/>
      <c r="FX266" s="2297"/>
      <c r="FY266" s="2297"/>
      <c r="FZ266" s="2297"/>
      <c r="GA266" s="2297"/>
      <c r="GB266" s="2297"/>
      <c r="GC266" s="2297"/>
      <c r="GD266" s="2297"/>
      <c r="GE266" s="2297"/>
      <c r="GF266" s="2297"/>
      <c r="GG266" s="2297"/>
      <c r="GH266" s="2297"/>
      <c r="GI266" s="2297"/>
      <c r="GJ266" s="2297"/>
      <c r="GK266" s="2297"/>
      <c r="GL266" s="2297"/>
      <c r="GM266" s="2297"/>
      <c r="GN266" s="2297"/>
      <c r="GO266" s="2297"/>
      <c r="GP266" s="2297"/>
      <c r="GQ266" s="2297"/>
      <c r="GR266" s="2297"/>
      <c r="GS266" s="2297"/>
      <c r="GT266" s="2297"/>
      <c r="GU266" s="2297"/>
      <c r="GV266" s="2297"/>
      <c r="GW266" s="2297"/>
      <c r="GX266" s="2297"/>
      <c r="GY266" s="2297"/>
      <c r="GZ266" s="2297"/>
      <c r="HA266" s="2297"/>
      <c r="HB266" s="2297"/>
      <c r="HC266" s="2297"/>
      <c r="HD266" s="2297"/>
      <c r="HE266" s="2297"/>
      <c r="HF266" s="2297"/>
      <c r="HG266" s="2297"/>
      <c r="HH266" s="2297"/>
      <c r="HI266" s="2297"/>
      <c r="HJ266" s="2297"/>
      <c r="HK266" s="2297"/>
      <c r="HL266" s="2297"/>
      <c r="HM266" s="2297"/>
      <c r="HN266" s="2297"/>
      <c r="HO266" s="2297"/>
      <c r="HP266" s="2297"/>
      <c r="HQ266" s="2297"/>
      <c r="HR266" s="2297"/>
      <c r="HS266" s="2297"/>
      <c r="HT266" s="2297"/>
      <c r="HU266" s="2297"/>
      <c r="HV266" s="2297"/>
      <c r="HW266" s="2297"/>
      <c r="HX266" s="2297"/>
      <c r="HY266" s="2297"/>
      <c r="HZ266" s="2297"/>
      <c r="IA266" s="2297"/>
      <c r="IB266" s="2297"/>
      <c r="IC266" s="2297"/>
      <c r="ID266" s="2297"/>
      <c r="IE266" s="2297"/>
      <c r="IF266" s="2297"/>
      <c r="IG266" s="2297"/>
      <c r="IH266" s="2297"/>
      <c r="II266" s="2297"/>
      <c r="IJ266" s="2297"/>
      <c r="IK266" s="2297"/>
      <c r="IL266" s="2297"/>
      <c r="IM266" s="2297"/>
      <c r="IN266" s="2297"/>
      <c r="IO266" s="2297"/>
      <c r="IP266" s="2297"/>
      <c r="IQ266" s="2297"/>
      <c r="IR266" s="2297"/>
      <c r="IS266" s="2297"/>
      <c r="IT266" s="2297"/>
      <c r="IU266" s="2297"/>
      <c r="IV266" s="2297"/>
    </row>
    <row r="267" spans="3:256">
      <c r="C267" s="2298"/>
      <c r="D267" s="2298"/>
      <c r="E267" s="2298"/>
      <c r="F267" s="2298"/>
      <c r="G267" s="2298"/>
      <c r="H267" s="2298"/>
      <c r="AC267" s="2297"/>
      <c r="AD267" s="2297"/>
      <c r="AE267" s="2297"/>
      <c r="AF267" s="2297"/>
      <c r="AG267" s="2297"/>
      <c r="AH267" s="2297"/>
      <c r="AI267" s="2297"/>
      <c r="AJ267" s="2297"/>
      <c r="AK267" s="2297"/>
      <c r="AL267" s="2297"/>
      <c r="AM267" s="2297"/>
      <c r="AN267" s="2297"/>
      <c r="AO267" s="2297"/>
      <c r="AP267" s="2297"/>
      <c r="AQ267" s="2297"/>
      <c r="AR267" s="2297"/>
      <c r="AS267" s="2297"/>
      <c r="AT267" s="2297"/>
      <c r="AU267" s="2297"/>
      <c r="AV267" s="2297"/>
      <c r="AW267" s="2297"/>
      <c r="AX267" s="2297"/>
      <c r="AY267" s="2297"/>
      <c r="AZ267" s="2297"/>
      <c r="BA267" s="2297"/>
      <c r="BB267" s="2297"/>
      <c r="BC267" s="2297"/>
      <c r="BD267" s="2297"/>
      <c r="BE267" s="2297"/>
      <c r="BF267" s="2297"/>
      <c r="BG267" s="2297"/>
      <c r="BH267" s="2297"/>
      <c r="BI267" s="2297"/>
      <c r="BJ267" s="2297"/>
      <c r="BK267" s="2297"/>
      <c r="BL267" s="2297"/>
      <c r="BM267" s="2297"/>
      <c r="BN267" s="2297"/>
      <c r="BO267" s="2297"/>
      <c r="BP267" s="2297"/>
      <c r="BQ267" s="2297"/>
      <c r="BR267" s="2297"/>
      <c r="BS267" s="2297"/>
      <c r="BT267" s="2297"/>
      <c r="BU267" s="2297"/>
      <c r="BV267" s="2297"/>
      <c r="BW267" s="2297"/>
      <c r="BX267" s="2297"/>
      <c r="BY267" s="2297"/>
      <c r="BZ267" s="2297"/>
      <c r="CA267" s="2297"/>
      <c r="CB267" s="2297"/>
      <c r="CC267" s="2297"/>
      <c r="CD267" s="2297"/>
      <c r="CE267" s="2297"/>
      <c r="CF267" s="2297"/>
      <c r="CG267" s="2297"/>
      <c r="CH267" s="2297"/>
      <c r="CI267" s="2297"/>
      <c r="CJ267" s="2297"/>
      <c r="CK267" s="2297"/>
      <c r="CL267" s="2297"/>
      <c r="CM267" s="2297"/>
      <c r="CN267" s="2297"/>
      <c r="CO267" s="2297"/>
      <c r="CP267" s="2297"/>
      <c r="CQ267" s="2297"/>
      <c r="CR267" s="2297"/>
      <c r="CS267" s="2297"/>
      <c r="CT267" s="2297"/>
      <c r="CU267" s="2297"/>
      <c r="CV267" s="2297"/>
      <c r="CW267" s="2297"/>
      <c r="CX267" s="2297"/>
      <c r="CY267" s="2297"/>
      <c r="CZ267" s="2297"/>
      <c r="DA267" s="2297"/>
      <c r="DB267" s="2297"/>
      <c r="DC267" s="2297"/>
      <c r="DD267" s="2297"/>
      <c r="DE267" s="2297"/>
      <c r="DF267" s="2297"/>
      <c r="DG267" s="2297"/>
      <c r="DH267" s="2297"/>
      <c r="DI267" s="2297"/>
      <c r="DJ267" s="2297"/>
      <c r="DK267" s="2297"/>
      <c r="DL267" s="2297"/>
      <c r="DM267" s="2297"/>
      <c r="DN267" s="2297"/>
      <c r="DO267" s="2297"/>
      <c r="DP267" s="2297"/>
      <c r="DQ267" s="2297"/>
      <c r="DR267" s="2297"/>
      <c r="DS267" s="2297"/>
      <c r="DT267" s="2297"/>
      <c r="DU267" s="2297"/>
      <c r="DV267" s="2297"/>
      <c r="DW267" s="2297"/>
      <c r="DX267" s="2297"/>
      <c r="DY267" s="2297"/>
      <c r="DZ267" s="2297"/>
      <c r="EA267" s="2297"/>
      <c r="EB267" s="2297"/>
      <c r="EC267" s="2297"/>
      <c r="ED267" s="2297"/>
      <c r="EE267" s="2297"/>
      <c r="EF267" s="2297"/>
      <c r="EG267" s="2297"/>
      <c r="EH267" s="2297"/>
      <c r="EI267" s="2297"/>
      <c r="EJ267" s="2297"/>
      <c r="EK267" s="2297"/>
      <c r="EL267" s="2297"/>
      <c r="EM267" s="2297"/>
      <c r="EN267" s="2297"/>
      <c r="EO267" s="2297"/>
      <c r="EP267" s="2297"/>
      <c r="EQ267" s="2297"/>
      <c r="ER267" s="2297"/>
      <c r="ES267" s="2297"/>
      <c r="ET267" s="2297"/>
      <c r="EU267" s="2297"/>
      <c r="EV267" s="2297"/>
      <c r="EW267" s="2297"/>
      <c r="EX267" s="2297"/>
      <c r="EY267" s="2297"/>
      <c r="EZ267" s="2297"/>
      <c r="FA267" s="2297"/>
      <c r="FB267" s="2297"/>
      <c r="FC267" s="2297"/>
      <c r="FD267" s="2297"/>
      <c r="FE267" s="2297"/>
      <c r="FF267" s="2297"/>
      <c r="FG267" s="2297"/>
      <c r="FH267" s="2297"/>
      <c r="FI267" s="2297"/>
      <c r="FJ267" s="2297"/>
      <c r="FK267" s="2297"/>
      <c r="FL267" s="2297"/>
      <c r="FM267" s="2297"/>
      <c r="FN267" s="2297"/>
      <c r="FO267" s="2297"/>
      <c r="FP267" s="2297"/>
      <c r="FQ267" s="2297"/>
      <c r="FR267" s="2297"/>
      <c r="FS267" s="2297"/>
      <c r="FT267" s="2297"/>
      <c r="FU267" s="2297"/>
      <c r="FV267" s="2297"/>
      <c r="FW267" s="2297"/>
      <c r="FX267" s="2297"/>
      <c r="FY267" s="2297"/>
      <c r="FZ267" s="2297"/>
      <c r="GA267" s="2297"/>
      <c r="GB267" s="2297"/>
      <c r="GC267" s="2297"/>
      <c r="GD267" s="2297"/>
      <c r="GE267" s="2297"/>
      <c r="GF267" s="2297"/>
      <c r="GG267" s="2297"/>
      <c r="GH267" s="2297"/>
      <c r="GI267" s="2297"/>
      <c r="GJ267" s="2297"/>
      <c r="GK267" s="2297"/>
      <c r="GL267" s="2297"/>
      <c r="GM267" s="2297"/>
      <c r="GN267" s="2297"/>
      <c r="GO267" s="2297"/>
      <c r="GP267" s="2297"/>
      <c r="GQ267" s="2297"/>
      <c r="GR267" s="2297"/>
      <c r="GS267" s="2297"/>
      <c r="GT267" s="2297"/>
      <c r="GU267" s="2297"/>
      <c r="GV267" s="2297"/>
      <c r="GW267" s="2297"/>
      <c r="GX267" s="2297"/>
      <c r="GY267" s="2297"/>
      <c r="GZ267" s="2297"/>
      <c r="HA267" s="2297"/>
      <c r="HB267" s="2297"/>
      <c r="HC267" s="2297"/>
      <c r="HD267" s="2297"/>
      <c r="HE267" s="2297"/>
      <c r="HF267" s="2297"/>
      <c r="HG267" s="2297"/>
      <c r="HH267" s="2297"/>
      <c r="HI267" s="2297"/>
      <c r="HJ267" s="2297"/>
      <c r="HK267" s="2297"/>
      <c r="HL267" s="2297"/>
      <c r="HM267" s="2297"/>
      <c r="HN267" s="2297"/>
      <c r="HO267" s="2297"/>
      <c r="HP267" s="2297"/>
      <c r="HQ267" s="2297"/>
      <c r="HR267" s="2297"/>
      <c r="HS267" s="2297"/>
      <c r="HT267" s="2297"/>
      <c r="HU267" s="2297"/>
      <c r="HV267" s="2297"/>
      <c r="HW267" s="2297"/>
      <c r="HX267" s="2297"/>
      <c r="HY267" s="2297"/>
      <c r="HZ267" s="2297"/>
      <c r="IA267" s="2297"/>
      <c r="IB267" s="2297"/>
      <c r="IC267" s="2297"/>
      <c r="ID267" s="2297"/>
      <c r="IE267" s="2297"/>
      <c r="IF267" s="2297"/>
      <c r="IG267" s="2297"/>
      <c r="IH267" s="2297"/>
      <c r="II267" s="2297"/>
      <c r="IJ267" s="2297"/>
      <c r="IK267" s="2297"/>
      <c r="IL267" s="2297"/>
      <c r="IM267" s="2297"/>
      <c r="IN267" s="2297"/>
      <c r="IO267" s="2297"/>
      <c r="IP267" s="2297"/>
      <c r="IQ267" s="2297"/>
      <c r="IR267" s="2297"/>
      <c r="IS267" s="2297"/>
      <c r="IT267" s="2297"/>
      <c r="IU267" s="2297"/>
      <c r="IV267" s="2297"/>
    </row>
    <row r="268" spans="3:256">
      <c r="C268" s="2298"/>
      <c r="D268" s="2298"/>
      <c r="E268" s="2298"/>
      <c r="F268" s="2298"/>
      <c r="G268" s="2298"/>
      <c r="H268" s="2298"/>
      <c r="AC268" s="2297"/>
      <c r="AD268" s="2297"/>
      <c r="AE268" s="2297"/>
      <c r="AF268" s="2297"/>
      <c r="AG268" s="2297"/>
      <c r="AH268" s="2297"/>
      <c r="AI268" s="2297"/>
      <c r="AJ268" s="2297"/>
      <c r="AK268" s="2297"/>
      <c r="AL268" s="2297"/>
      <c r="AM268" s="2297"/>
      <c r="AN268" s="2297"/>
      <c r="AO268" s="2297"/>
      <c r="AP268" s="2297"/>
      <c r="AQ268" s="2297"/>
      <c r="AR268" s="2297"/>
      <c r="AS268" s="2297"/>
      <c r="AT268" s="2297"/>
      <c r="AU268" s="2297"/>
      <c r="AV268" s="2297"/>
      <c r="AW268" s="2297"/>
      <c r="AX268" s="2297"/>
      <c r="AY268" s="2297"/>
      <c r="AZ268" s="2297"/>
      <c r="BA268" s="2297"/>
      <c r="BB268" s="2297"/>
      <c r="BC268" s="2297"/>
      <c r="BD268" s="2297"/>
      <c r="BE268" s="2297"/>
      <c r="BF268" s="2297"/>
      <c r="BG268" s="2297"/>
      <c r="BH268" s="2297"/>
      <c r="BI268" s="2297"/>
      <c r="BJ268" s="2297"/>
      <c r="BK268" s="2297"/>
      <c r="BL268" s="2297"/>
      <c r="BM268" s="2297"/>
      <c r="BN268" s="2297"/>
      <c r="BO268" s="2297"/>
      <c r="BP268" s="2297"/>
      <c r="BQ268" s="2297"/>
      <c r="BR268" s="2297"/>
      <c r="BS268" s="2297"/>
      <c r="BT268" s="2297"/>
      <c r="BU268" s="2297"/>
      <c r="BV268" s="2297"/>
      <c r="BW268" s="2297"/>
      <c r="BX268" s="2297"/>
      <c r="BY268" s="2297"/>
      <c r="BZ268" s="2297"/>
      <c r="CA268" s="2297"/>
      <c r="CB268" s="2297"/>
      <c r="CC268" s="2297"/>
      <c r="CD268" s="2297"/>
      <c r="CE268" s="2297"/>
      <c r="CF268" s="2297"/>
      <c r="CG268" s="2297"/>
      <c r="CH268" s="2297"/>
      <c r="CI268" s="2297"/>
      <c r="CJ268" s="2297"/>
      <c r="CK268" s="2297"/>
      <c r="CL268" s="2297"/>
      <c r="CM268" s="2297"/>
      <c r="CN268" s="2297"/>
      <c r="CO268" s="2297"/>
      <c r="CP268" s="2297"/>
      <c r="CQ268" s="2297"/>
      <c r="CR268" s="2297"/>
      <c r="CS268" s="2297"/>
      <c r="CT268" s="2297"/>
      <c r="CU268" s="2297"/>
      <c r="CV268" s="2297"/>
      <c r="CW268" s="2297"/>
      <c r="CX268" s="2297"/>
      <c r="CY268" s="2297"/>
      <c r="CZ268" s="2297"/>
      <c r="DA268" s="2297"/>
      <c r="DB268" s="2297"/>
      <c r="DC268" s="2297"/>
      <c r="DD268" s="2297"/>
      <c r="DE268" s="2297"/>
      <c r="DF268" s="2297"/>
      <c r="DG268" s="2297"/>
      <c r="DH268" s="2297"/>
      <c r="DI268" s="2297"/>
      <c r="DJ268" s="2297"/>
      <c r="DK268" s="2297"/>
      <c r="DL268" s="2297"/>
      <c r="DM268" s="2297"/>
      <c r="DN268" s="2297"/>
      <c r="DO268" s="2297"/>
      <c r="DP268" s="2297"/>
      <c r="DQ268" s="2297"/>
      <c r="DR268" s="2297"/>
      <c r="DS268" s="2297"/>
      <c r="DT268" s="2297"/>
      <c r="DU268" s="2297"/>
      <c r="DV268" s="2297"/>
      <c r="DW268" s="2297"/>
      <c r="DX268" s="2297"/>
      <c r="DY268" s="2297"/>
      <c r="DZ268" s="2297"/>
      <c r="EA268" s="2297"/>
      <c r="EB268" s="2297"/>
      <c r="EC268" s="2297"/>
      <c r="ED268" s="2297"/>
      <c r="EE268" s="2297"/>
      <c r="EF268" s="2297"/>
      <c r="EG268" s="2297"/>
      <c r="EH268" s="2297"/>
      <c r="EI268" s="2297"/>
      <c r="EJ268" s="2297"/>
      <c r="EK268" s="2297"/>
      <c r="EL268" s="2297"/>
      <c r="EM268" s="2297"/>
      <c r="EN268" s="2297"/>
      <c r="EO268" s="2297"/>
      <c r="EP268" s="2297"/>
      <c r="EQ268" s="2297"/>
      <c r="ER268" s="2297"/>
      <c r="ES268" s="2297"/>
      <c r="ET268" s="2297"/>
      <c r="EU268" s="2297"/>
      <c r="EV268" s="2297"/>
      <c r="EW268" s="2297"/>
      <c r="EX268" s="2297"/>
      <c r="EY268" s="2297"/>
      <c r="EZ268" s="2297"/>
      <c r="FA268" s="2297"/>
      <c r="FB268" s="2297"/>
      <c r="FC268" s="2297"/>
      <c r="FD268" s="2297"/>
      <c r="FE268" s="2297"/>
      <c r="FF268" s="2297"/>
      <c r="FG268" s="2297"/>
      <c r="FH268" s="2297"/>
      <c r="FI268" s="2297"/>
      <c r="FJ268" s="2297"/>
      <c r="FK268" s="2297"/>
      <c r="FL268" s="2297"/>
      <c r="FM268" s="2297"/>
      <c r="FN268" s="2297"/>
      <c r="FO268" s="2297"/>
      <c r="FP268" s="2297"/>
      <c r="FQ268" s="2297"/>
      <c r="FR268" s="2297"/>
      <c r="FS268" s="2297"/>
      <c r="FT268" s="2297"/>
      <c r="FU268" s="2297"/>
      <c r="FV268" s="2297"/>
      <c r="FW268" s="2297"/>
      <c r="FX268" s="2297"/>
      <c r="FY268" s="2297"/>
      <c r="FZ268" s="2297"/>
      <c r="GA268" s="2297"/>
      <c r="GB268" s="2297"/>
      <c r="GC268" s="2297"/>
      <c r="GD268" s="2297"/>
      <c r="GE268" s="2297"/>
      <c r="GF268" s="2297"/>
      <c r="GG268" s="2297"/>
      <c r="GH268" s="2297"/>
      <c r="GI268" s="2297"/>
      <c r="GJ268" s="2297"/>
      <c r="GK268" s="2297"/>
      <c r="GL268" s="2297"/>
      <c r="GM268" s="2297"/>
      <c r="GN268" s="2297"/>
      <c r="GO268" s="2297"/>
      <c r="GP268" s="2297"/>
      <c r="GQ268" s="2297"/>
      <c r="GR268" s="2297"/>
      <c r="GS268" s="2297"/>
      <c r="GT268" s="2297"/>
      <c r="GU268" s="2297"/>
      <c r="GV268" s="2297"/>
      <c r="GW268" s="2297"/>
      <c r="GX268" s="2297"/>
      <c r="GY268" s="2297"/>
      <c r="GZ268" s="2297"/>
      <c r="HA268" s="2297"/>
      <c r="HB268" s="2297"/>
      <c r="HC268" s="2297"/>
      <c r="HD268" s="2297"/>
      <c r="HE268" s="2297"/>
      <c r="HF268" s="2297"/>
      <c r="HG268" s="2297"/>
      <c r="HH268" s="2297"/>
      <c r="HI268" s="2297"/>
      <c r="HJ268" s="2297"/>
      <c r="HK268" s="2297"/>
      <c r="HL268" s="2297"/>
      <c r="HM268" s="2297"/>
      <c r="HN268" s="2297"/>
      <c r="HO268" s="2297"/>
      <c r="HP268" s="2297"/>
      <c r="HQ268" s="2297"/>
      <c r="HR268" s="2297"/>
      <c r="HS268" s="2297"/>
      <c r="HT268" s="2297"/>
      <c r="HU268" s="2297"/>
      <c r="HV268" s="2297"/>
      <c r="HW268" s="2297"/>
      <c r="HX268" s="2297"/>
      <c r="HY268" s="2297"/>
      <c r="HZ268" s="2297"/>
      <c r="IA268" s="2297"/>
      <c r="IB268" s="2297"/>
      <c r="IC268" s="2297"/>
      <c r="ID268" s="2297"/>
      <c r="IE268" s="2297"/>
      <c r="IF268" s="2297"/>
      <c r="IG268" s="2297"/>
      <c r="IH268" s="2297"/>
      <c r="II268" s="2297"/>
      <c r="IJ268" s="2297"/>
      <c r="IK268" s="2297"/>
      <c r="IL268" s="2297"/>
      <c r="IM268" s="2297"/>
      <c r="IN268" s="2297"/>
      <c r="IO268" s="2297"/>
      <c r="IP268" s="2297"/>
      <c r="IQ268" s="2297"/>
      <c r="IR268" s="2297"/>
      <c r="IS268" s="2297"/>
      <c r="IT268" s="2297"/>
      <c r="IU268" s="2297"/>
      <c r="IV268" s="2297"/>
    </row>
    <row r="269" spans="3:256">
      <c r="C269" s="2298"/>
      <c r="D269" s="2298"/>
      <c r="E269" s="2298"/>
      <c r="F269" s="2298"/>
      <c r="G269" s="2298"/>
      <c r="H269" s="2298"/>
      <c r="AC269" s="2297"/>
      <c r="AD269" s="2297"/>
      <c r="AE269" s="2297"/>
      <c r="AF269" s="2297"/>
      <c r="AG269" s="2297"/>
      <c r="AH269" s="2297"/>
      <c r="AI269" s="2297"/>
      <c r="AJ269" s="2297"/>
      <c r="AK269" s="2297"/>
      <c r="AL269" s="2297"/>
      <c r="AM269" s="2297"/>
      <c r="AN269" s="2297"/>
      <c r="AO269" s="2297"/>
      <c r="AP269" s="2297"/>
      <c r="AQ269" s="2297"/>
      <c r="AR269" s="2297"/>
      <c r="AS269" s="2297"/>
      <c r="AT269" s="2297"/>
      <c r="AU269" s="2297"/>
      <c r="AV269" s="2297"/>
      <c r="AW269" s="2297"/>
      <c r="AX269" s="2297"/>
      <c r="AY269" s="2297"/>
      <c r="AZ269" s="2297"/>
      <c r="BA269" s="2297"/>
      <c r="BB269" s="2297"/>
      <c r="BC269" s="2297"/>
      <c r="BD269" s="2297"/>
      <c r="BE269" s="2297"/>
      <c r="BF269" s="2297"/>
      <c r="BG269" s="2297"/>
      <c r="BH269" s="2297"/>
      <c r="BI269" s="2297"/>
      <c r="BJ269" s="2297"/>
      <c r="BK269" s="2297"/>
      <c r="BL269" s="2297"/>
      <c r="BM269" s="2297"/>
      <c r="BN269" s="2297"/>
      <c r="BO269" s="2297"/>
      <c r="BP269" s="2297"/>
      <c r="BQ269" s="2297"/>
      <c r="BR269" s="2297"/>
      <c r="BS269" s="2297"/>
      <c r="BT269" s="2297"/>
      <c r="BU269" s="2297"/>
      <c r="BV269" s="2297"/>
      <c r="BW269" s="2297"/>
      <c r="BX269" s="2297"/>
      <c r="BY269" s="2297"/>
      <c r="BZ269" s="2297"/>
      <c r="CA269" s="2297"/>
      <c r="CB269" s="2297"/>
      <c r="CC269" s="2297"/>
      <c r="CD269" s="2297"/>
      <c r="CE269" s="2297"/>
      <c r="CF269" s="2297"/>
      <c r="CG269" s="2297"/>
      <c r="CH269" s="2297"/>
      <c r="CI269" s="2297"/>
      <c r="CJ269" s="2297"/>
      <c r="CK269" s="2297"/>
      <c r="CL269" s="2297"/>
      <c r="CM269" s="2297"/>
      <c r="CN269" s="2297"/>
      <c r="CO269" s="2297"/>
      <c r="CP269" s="2297"/>
      <c r="CQ269" s="2297"/>
      <c r="CR269" s="2297"/>
      <c r="CS269" s="2297"/>
      <c r="CT269" s="2297"/>
      <c r="CU269" s="2297"/>
      <c r="CV269" s="2297"/>
      <c r="CW269" s="2297"/>
      <c r="CX269" s="2297"/>
      <c r="CY269" s="2297"/>
      <c r="CZ269" s="2297"/>
      <c r="DA269" s="2297"/>
      <c r="DB269" s="2297"/>
      <c r="DC269" s="2297"/>
      <c r="DD269" s="2297"/>
      <c r="DE269" s="2297"/>
      <c r="DF269" s="2297"/>
      <c r="DG269" s="2297"/>
      <c r="DH269" s="2297"/>
      <c r="DI269" s="2297"/>
      <c r="DJ269" s="2297"/>
      <c r="DK269" s="2297"/>
      <c r="DL269" s="2297"/>
      <c r="DM269" s="2297"/>
      <c r="DN269" s="2297"/>
      <c r="DO269" s="2297"/>
      <c r="DP269" s="2297"/>
      <c r="DQ269" s="2297"/>
      <c r="DR269" s="2297"/>
      <c r="DS269" s="2297"/>
      <c r="DT269" s="2297"/>
      <c r="DU269" s="2297"/>
      <c r="DV269" s="2297"/>
      <c r="DW269" s="2297"/>
      <c r="DX269" s="2297"/>
      <c r="DY269" s="2297"/>
      <c r="DZ269" s="2297"/>
      <c r="EA269" s="2297"/>
      <c r="EB269" s="2297"/>
      <c r="EC269" s="2297"/>
      <c r="ED269" s="2297"/>
      <c r="EE269" s="2297"/>
      <c r="EF269" s="2297"/>
      <c r="EG269" s="2297"/>
      <c r="EH269" s="2297"/>
      <c r="EI269" s="2297"/>
      <c r="EJ269" s="2297"/>
      <c r="EK269" s="2297"/>
      <c r="EL269" s="2297"/>
      <c r="EM269" s="2297"/>
      <c r="EN269" s="2297"/>
      <c r="EO269" s="2297"/>
      <c r="EP269" s="2297"/>
      <c r="EQ269" s="2297"/>
      <c r="ER269" s="2297"/>
      <c r="ES269" s="2297"/>
      <c r="ET269" s="2297"/>
      <c r="EU269" s="2297"/>
      <c r="EV269" s="2297"/>
      <c r="EW269" s="2297"/>
      <c r="EX269" s="2297"/>
      <c r="EY269" s="2297"/>
      <c r="EZ269" s="2297"/>
      <c r="FA269" s="2297"/>
      <c r="FB269" s="2297"/>
      <c r="FC269" s="2297"/>
      <c r="FD269" s="2297"/>
      <c r="FE269" s="2297"/>
      <c r="FF269" s="2297"/>
      <c r="FG269" s="2297"/>
      <c r="FH269" s="2297"/>
      <c r="FI269" s="2297"/>
      <c r="FJ269" s="2297"/>
      <c r="FK269" s="2297"/>
      <c r="FL269" s="2297"/>
      <c r="FM269" s="2297"/>
      <c r="FN269" s="2297"/>
      <c r="FO269" s="2297"/>
      <c r="FP269" s="2297"/>
      <c r="FQ269" s="2297"/>
      <c r="FR269" s="2297"/>
      <c r="FS269" s="2297"/>
      <c r="FT269" s="2297"/>
      <c r="FU269" s="2297"/>
      <c r="FV269" s="2297"/>
      <c r="FW269" s="2297"/>
      <c r="FX269" s="2297"/>
      <c r="FY269" s="2297"/>
      <c r="FZ269" s="2297"/>
      <c r="GA269" s="2297"/>
      <c r="GB269" s="2297"/>
      <c r="GC269" s="2297"/>
      <c r="GD269" s="2297"/>
      <c r="GE269" s="2297"/>
      <c r="GF269" s="2297"/>
      <c r="GG269" s="2297"/>
      <c r="GH269" s="2297"/>
      <c r="GI269" s="2297"/>
      <c r="GJ269" s="2297"/>
      <c r="GK269" s="2297"/>
      <c r="GL269" s="2297"/>
      <c r="GM269" s="2297"/>
      <c r="GN269" s="2297"/>
      <c r="GO269" s="2297"/>
      <c r="GP269" s="2297"/>
      <c r="GQ269" s="2297"/>
      <c r="GR269" s="2297"/>
      <c r="GS269" s="2297"/>
      <c r="GT269" s="2297"/>
      <c r="GU269" s="2297"/>
      <c r="GV269" s="2297"/>
      <c r="GW269" s="2297"/>
      <c r="GX269" s="2297"/>
      <c r="GY269" s="2297"/>
      <c r="GZ269" s="2297"/>
      <c r="HA269" s="2297"/>
      <c r="HB269" s="2297"/>
      <c r="HC269" s="2297"/>
      <c r="HD269" s="2297"/>
      <c r="HE269" s="2297"/>
      <c r="HF269" s="2297"/>
      <c r="HG269" s="2297"/>
      <c r="HH269" s="2297"/>
      <c r="HI269" s="2297"/>
      <c r="HJ269" s="2297"/>
      <c r="HK269" s="2297"/>
      <c r="HL269" s="2297"/>
      <c r="HM269" s="2297"/>
      <c r="HN269" s="2297"/>
      <c r="HO269" s="2297"/>
      <c r="HP269" s="2297"/>
      <c r="HQ269" s="2297"/>
      <c r="HR269" s="2297"/>
      <c r="HS269" s="2297"/>
      <c r="HT269" s="2297"/>
      <c r="HU269" s="2297"/>
      <c r="HV269" s="2297"/>
      <c r="HW269" s="2297"/>
      <c r="HX269" s="2297"/>
      <c r="HY269" s="2297"/>
      <c r="HZ269" s="2297"/>
      <c r="IA269" s="2297"/>
      <c r="IB269" s="2297"/>
      <c r="IC269" s="2297"/>
      <c r="ID269" s="2297"/>
      <c r="IE269" s="2297"/>
      <c r="IF269" s="2297"/>
      <c r="IG269" s="2297"/>
      <c r="IH269" s="2297"/>
      <c r="II269" s="2297"/>
      <c r="IJ269" s="2297"/>
      <c r="IK269" s="2297"/>
      <c r="IL269" s="2297"/>
      <c r="IM269" s="2297"/>
      <c r="IN269" s="2297"/>
      <c r="IO269" s="2297"/>
      <c r="IP269" s="2297"/>
      <c r="IQ269" s="2297"/>
      <c r="IR269" s="2297"/>
      <c r="IS269" s="2297"/>
      <c r="IT269" s="2297"/>
      <c r="IU269" s="2297"/>
      <c r="IV269" s="2297"/>
    </row>
    <row r="270" spans="3:256">
      <c r="C270" s="2298"/>
      <c r="D270" s="2298"/>
      <c r="E270" s="2298"/>
      <c r="F270" s="2298"/>
      <c r="G270" s="2298"/>
      <c r="H270" s="2298"/>
      <c r="AC270" s="2297"/>
      <c r="AD270" s="2297"/>
      <c r="AE270" s="2297"/>
      <c r="AF270" s="2297"/>
      <c r="AG270" s="2297"/>
      <c r="AH270" s="2297"/>
      <c r="AI270" s="2297"/>
      <c r="AJ270" s="2297"/>
      <c r="AK270" s="2297"/>
      <c r="AL270" s="2297"/>
      <c r="AM270" s="2297"/>
      <c r="AN270" s="2297"/>
      <c r="AO270" s="2297"/>
      <c r="AP270" s="2297"/>
      <c r="AQ270" s="2297"/>
      <c r="AR270" s="2297"/>
      <c r="AS270" s="2297"/>
      <c r="AT270" s="2297"/>
      <c r="AU270" s="2297"/>
      <c r="AV270" s="2297"/>
      <c r="AW270" s="2297"/>
      <c r="AX270" s="2297"/>
      <c r="AY270" s="2297"/>
      <c r="AZ270" s="2297"/>
      <c r="BA270" s="2297"/>
      <c r="BB270" s="2297"/>
      <c r="BC270" s="2297"/>
      <c r="BD270" s="2297"/>
      <c r="BE270" s="2297"/>
      <c r="BF270" s="2297"/>
      <c r="BG270" s="2297"/>
      <c r="BH270" s="2297"/>
      <c r="BI270" s="2297"/>
      <c r="BJ270" s="2297"/>
      <c r="BK270" s="2297"/>
      <c r="BL270" s="2297"/>
      <c r="BM270" s="2297"/>
      <c r="BN270" s="2297"/>
      <c r="BO270" s="2297"/>
      <c r="BP270" s="2297"/>
      <c r="BQ270" s="2297"/>
      <c r="BR270" s="2297"/>
      <c r="BS270" s="2297"/>
      <c r="BT270" s="2297"/>
      <c r="BU270" s="2297"/>
      <c r="BV270" s="2297"/>
      <c r="BW270" s="2297"/>
      <c r="BX270" s="2297"/>
      <c r="BY270" s="2297"/>
      <c r="BZ270" s="2297"/>
      <c r="CA270" s="2297"/>
      <c r="CB270" s="2297"/>
      <c r="CC270" s="2297"/>
      <c r="CD270" s="2297"/>
      <c r="CE270" s="2297"/>
      <c r="CF270" s="2297"/>
      <c r="CG270" s="2297"/>
      <c r="CH270" s="2297"/>
      <c r="CI270" s="2297"/>
      <c r="CJ270" s="2297"/>
      <c r="CK270" s="2297"/>
      <c r="CL270" s="2297"/>
      <c r="CM270" s="2297"/>
      <c r="CN270" s="2297"/>
      <c r="CO270" s="2297"/>
      <c r="CP270" s="2297"/>
      <c r="CQ270" s="2297"/>
      <c r="CR270" s="2297"/>
      <c r="CS270" s="2297"/>
      <c r="CT270" s="2297"/>
      <c r="CU270" s="2297"/>
      <c r="CV270" s="2297"/>
      <c r="CW270" s="2297"/>
      <c r="CX270" s="2297"/>
      <c r="CY270" s="2297"/>
      <c r="CZ270" s="2297"/>
      <c r="DA270" s="2297"/>
      <c r="DB270" s="2297"/>
      <c r="DC270" s="2297"/>
      <c r="DD270" s="2297"/>
      <c r="DE270" s="2297"/>
      <c r="DF270" s="2297"/>
      <c r="DG270" s="2297"/>
      <c r="DH270" s="2297"/>
      <c r="DI270" s="2297"/>
      <c r="DJ270" s="2297"/>
      <c r="DK270" s="2297"/>
      <c r="DL270" s="2297"/>
      <c r="DM270" s="2297"/>
      <c r="DN270" s="2297"/>
      <c r="DO270" s="2297"/>
      <c r="DP270" s="2297"/>
      <c r="DQ270" s="2297"/>
      <c r="DR270" s="2297"/>
      <c r="DS270" s="2297"/>
      <c r="DT270" s="2297"/>
      <c r="DU270" s="2297"/>
      <c r="DV270" s="2297"/>
      <c r="DW270" s="2297"/>
      <c r="DX270" s="2297"/>
      <c r="DY270" s="2297"/>
      <c r="DZ270" s="2297"/>
      <c r="EA270" s="2297"/>
      <c r="EB270" s="2297"/>
      <c r="EC270" s="2297"/>
      <c r="ED270" s="2297"/>
      <c r="EE270" s="2297"/>
      <c r="EF270" s="2297"/>
      <c r="EG270" s="2297"/>
      <c r="EH270" s="2297"/>
      <c r="EI270" s="2297"/>
      <c r="EJ270" s="2297"/>
      <c r="EK270" s="2297"/>
      <c r="EL270" s="2297"/>
      <c r="EM270" s="2297"/>
      <c r="EN270" s="2297"/>
      <c r="EO270" s="2297"/>
      <c r="EP270" s="2297"/>
      <c r="EQ270" s="2297"/>
      <c r="ER270" s="2297"/>
      <c r="ES270" s="2297"/>
      <c r="ET270" s="2297"/>
      <c r="EU270" s="2297"/>
      <c r="EV270" s="2297"/>
      <c r="EW270" s="2297"/>
      <c r="EX270" s="2297"/>
      <c r="EY270" s="2297"/>
      <c r="EZ270" s="2297"/>
      <c r="FA270" s="2297"/>
      <c r="FB270" s="2297"/>
      <c r="FC270" s="2297"/>
      <c r="FD270" s="2297"/>
      <c r="FE270" s="2297"/>
      <c r="FF270" s="2297"/>
      <c r="FG270" s="2297"/>
      <c r="FH270" s="2297"/>
      <c r="FI270" s="2297"/>
      <c r="FJ270" s="2297"/>
      <c r="FK270" s="2297"/>
      <c r="FL270" s="2297"/>
      <c r="FM270" s="2297"/>
      <c r="FN270" s="2297"/>
      <c r="FO270" s="2297"/>
      <c r="FP270" s="2297"/>
      <c r="FQ270" s="2297"/>
      <c r="FR270" s="2297"/>
      <c r="FS270" s="2297"/>
      <c r="FT270" s="2297"/>
      <c r="FU270" s="2297"/>
      <c r="FV270" s="2297"/>
      <c r="FW270" s="2297"/>
      <c r="FX270" s="2297"/>
      <c r="FY270" s="2297"/>
      <c r="FZ270" s="2297"/>
      <c r="GA270" s="2297"/>
      <c r="GB270" s="2297"/>
      <c r="GC270" s="2297"/>
      <c r="GD270" s="2297"/>
      <c r="GE270" s="2297"/>
      <c r="GF270" s="2297"/>
      <c r="GG270" s="2297"/>
      <c r="GH270" s="2297"/>
      <c r="GI270" s="2297"/>
      <c r="GJ270" s="2297"/>
      <c r="GK270" s="2297"/>
      <c r="GL270" s="2297"/>
      <c r="GM270" s="2297"/>
      <c r="GN270" s="2297"/>
      <c r="GO270" s="2297"/>
      <c r="GP270" s="2297"/>
      <c r="GQ270" s="2297"/>
      <c r="GR270" s="2297"/>
      <c r="GS270" s="2297"/>
      <c r="GT270" s="2297"/>
      <c r="GU270" s="2297"/>
      <c r="GV270" s="2297"/>
      <c r="GW270" s="2297"/>
      <c r="GX270" s="2297"/>
      <c r="GY270" s="2297"/>
      <c r="GZ270" s="2297"/>
      <c r="HA270" s="2297"/>
      <c r="HB270" s="2297"/>
      <c r="HC270" s="2297"/>
      <c r="HD270" s="2297"/>
      <c r="HE270" s="2297"/>
      <c r="HF270" s="2297"/>
      <c r="HG270" s="2297"/>
      <c r="HH270" s="2297"/>
      <c r="HI270" s="2297"/>
      <c r="HJ270" s="2297"/>
      <c r="HK270" s="2297"/>
      <c r="HL270" s="2297"/>
      <c r="HM270" s="2297"/>
      <c r="HN270" s="2297"/>
      <c r="HO270" s="2297"/>
      <c r="HP270" s="2297"/>
      <c r="HQ270" s="2297"/>
      <c r="HR270" s="2297"/>
      <c r="HS270" s="2297"/>
      <c r="HT270" s="2297"/>
      <c r="HU270" s="2297"/>
      <c r="HV270" s="2297"/>
      <c r="HW270" s="2297"/>
      <c r="HX270" s="2297"/>
      <c r="HY270" s="2297"/>
      <c r="HZ270" s="2297"/>
      <c r="IA270" s="2297"/>
      <c r="IB270" s="2297"/>
      <c r="IC270" s="2297"/>
      <c r="ID270" s="2297"/>
      <c r="IE270" s="2297"/>
      <c r="IF270" s="2297"/>
      <c r="IG270" s="2297"/>
      <c r="IH270" s="2297"/>
      <c r="II270" s="2297"/>
      <c r="IJ270" s="2297"/>
      <c r="IK270" s="2297"/>
      <c r="IL270" s="2297"/>
      <c r="IM270" s="2297"/>
      <c r="IN270" s="2297"/>
      <c r="IO270" s="2297"/>
      <c r="IP270" s="2297"/>
      <c r="IQ270" s="2297"/>
      <c r="IR270" s="2297"/>
      <c r="IS270" s="2297"/>
      <c r="IT270" s="2297"/>
      <c r="IU270" s="2297"/>
      <c r="IV270" s="2297"/>
    </row>
    <row r="271" spans="3:256">
      <c r="C271" s="2298"/>
      <c r="D271" s="2298"/>
      <c r="E271" s="2298"/>
      <c r="F271" s="2298"/>
      <c r="G271" s="2298"/>
      <c r="H271" s="2298"/>
      <c r="AC271" s="2297"/>
      <c r="AD271" s="2297"/>
      <c r="AE271" s="2297"/>
      <c r="AF271" s="2297"/>
      <c r="AG271" s="2297"/>
      <c r="AH271" s="2297"/>
      <c r="AI271" s="2297"/>
      <c r="AJ271" s="2297"/>
      <c r="AK271" s="2297"/>
      <c r="AL271" s="2297"/>
      <c r="AM271" s="2297"/>
      <c r="AN271" s="2297"/>
      <c r="AO271" s="2297"/>
      <c r="AP271" s="2297"/>
      <c r="AQ271" s="2297"/>
      <c r="AR271" s="2297"/>
      <c r="AS271" s="2297"/>
      <c r="AT271" s="2297"/>
      <c r="AU271" s="2297"/>
      <c r="AV271" s="2297"/>
      <c r="AW271" s="2297"/>
      <c r="AX271" s="2297"/>
      <c r="AY271" s="2297"/>
      <c r="AZ271" s="2297"/>
      <c r="BA271" s="2297"/>
      <c r="BB271" s="2297"/>
      <c r="BC271" s="2297"/>
      <c r="BD271" s="2297"/>
      <c r="BE271" s="2297"/>
      <c r="BF271" s="2297"/>
      <c r="BG271" s="2297"/>
      <c r="BH271" s="2297"/>
      <c r="BI271" s="2297"/>
      <c r="BJ271" s="2297"/>
      <c r="BK271" s="2297"/>
      <c r="BL271" s="2297"/>
      <c r="BM271" s="2297"/>
      <c r="BN271" s="2297"/>
      <c r="BO271" s="2297"/>
      <c r="BP271" s="2297"/>
      <c r="BQ271" s="2297"/>
      <c r="BR271" s="2297"/>
      <c r="BS271" s="2297"/>
      <c r="BT271" s="2297"/>
      <c r="BU271" s="2297"/>
      <c r="BV271" s="2297"/>
      <c r="BW271" s="2297"/>
      <c r="BX271" s="2297"/>
      <c r="BY271" s="2297"/>
      <c r="BZ271" s="2297"/>
      <c r="CA271" s="2297"/>
      <c r="CB271" s="2297"/>
      <c r="CC271" s="2297"/>
      <c r="CD271" s="2297"/>
      <c r="CE271" s="2297"/>
      <c r="CF271" s="2297"/>
      <c r="CG271" s="2297"/>
      <c r="CH271" s="2297"/>
      <c r="CI271" s="2297"/>
      <c r="CJ271" s="2297"/>
      <c r="CK271" s="2297"/>
      <c r="CL271" s="2297"/>
      <c r="CM271" s="2297"/>
      <c r="CN271" s="2297"/>
      <c r="CO271" s="2297"/>
      <c r="CP271" s="2297"/>
      <c r="CQ271" s="2297"/>
      <c r="CR271" s="2297"/>
      <c r="CS271" s="2297"/>
      <c r="CT271" s="2297"/>
      <c r="CU271" s="2297"/>
      <c r="CV271" s="2297"/>
      <c r="CW271" s="2297"/>
      <c r="CX271" s="2297"/>
      <c r="CY271" s="2297"/>
      <c r="CZ271" s="2297"/>
      <c r="DA271" s="2297"/>
      <c r="DB271" s="2297"/>
      <c r="DC271" s="2297"/>
      <c r="DD271" s="2297"/>
      <c r="DE271" s="2297"/>
      <c r="DF271" s="2297"/>
      <c r="DG271" s="2297"/>
      <c r="DH271" s="2297"/>
      <c r="DI271" s="2297"/>
      <c r="DJ271" s="2297"/>
      <c r="DK271" s="2297"/>
      <c r="DL271" s="2297"/>
      <c r="DM271" s="2297"/>
      <c r="DN271" s="2297"/>
      <c r="DO271" s="2297"/>
      <c r="DP271" s="2297"/>
      <c r="DQ271" s="2297"/>
      <c r="DR271" s="2297"/>
      <c r="DS271" s="2297"/>
      <c r="DT271" s="2297"/>
      <c r="DU271" s="2297"/>
      <c r="DV271" s="2297"/>
      <c r="DW271" s="2297"/>
      <c r="DX271" s="2297"/>
      <c r="DY271" s="2297"/>
      <c r="DZ271" s="2297"/>
      <c r="EA271" s="2297"/>
      <c r="EB271" s="2297"/>
      <c r="EC271" s="2297"/>
      <c r="ED271" s="2297"/>
      <c r="EE271" s="2297"/>
      <c r="EF271" s="2297"/>
      <c r="EG271" s="2297"/>
      <c r="EH271" s="2297"/>
      <c r="EI271" s="2297"/>
      <c r="EJ271" s="2297"/>
      <c r="EK271" s="2297"/>
      <c r="EL271" s="2297"/>
      <c r="EM271" s="2297"/>
      <c r="EN271" s="2297"/>
      <c r="EO271" s="2297"/>
      <c r="EP271" s="2297"/>
      <c r="EQ271" s="2297"/>
      <c r="ER271" s="2297"/>
      <c r="ES271" s="2297"/>
      <c r="ET271" s="2297"/>
      <c r="EU271" s="2297"/>
      <c r="EV271" s="2297"/>
      <c r="EW271" s="2297"/>
      <c r="EX271" s="2297"/>
      <c r="EY271" s="2297"/>
      <c r="EZ271" s="2297"/>
      <c r="FA271" s="2297"/>
      <c r="FB271" s="2297"/>
      <c r="FC271" s="2297"/>
      <c r="FD271" s="2297"/>
      <c r="FE271" s="2297"/>
      <c r="FF271" s="2297"/>
      <c r="FG271" s="2297"/>
      <c r="FH271" s="2297"/>
      <c r="FI271" s="2297"/>
      <c r="FJ271" s="2297"/>
      <c r="FK271" s="2297"/>
      <c r="FL271" s="2297"/>
      <c r="FM271" s="2297"/>
      <c r="FN271" s="2297"/>
      <c r="FO271" s="2297"/>
      <c r="FP271" s="2297"/>
      <c r="FQ271" s="2297"/>
      <c r="FR271" s="2297"/>
      <c r="FS271" s="2297"/>
      <c r="FT271" s="2297"/>
      <c r="FU271" s="2297"/>
      <c r="FV271" s="2297"/>
      <c r="FW271" s="2297"/>
      <c r="FX271" s="2297"/>
      <c r="FY271" s="2297"/>
      <c r="FZ271" s="2297"/>
      <c r="GA271" s="2297"/>
      <c r="GB271" s="2297"/>
      <c r="GC271" s="2297"/>
      <c r="GD271" s="2297"/>
      <c r="GE271" s="2297"/>
      <c r="GF271" s="2297"/>
      <c r="GG271" s="2297"/>
      <c r="GH271" s="2297"/>
      <c r="GI271" s="2297"/>
      <c r="GJ271" s="2297"/>
      <c r="GK271" s="2297"/>
      <c r="GL271" s="2297"/>
      <c r="GM271" s="2297"/>
      <c r="GN271" s="2297"/>
      <c r="GO271" s="2297"/>
      <c r="GP271" s="2297"/>
      <c r="GQ271" s="2297"/>
      <c r="GR271" s="2297"/>
      <c r="GS271" s="2297"/>
      <c r="GT271" s="2297"/>
      <c r="GU271" s="2297"/>
      <c r="GV271" s="2297"/>
      <c r="GW271" s="2297"/>
      <c r="GX271" s="2297"/>
      <c r="GY271" s="2297"/>
      <c r="GZ271" s="2297"/>
      <c r="HA271" s="2297"/>
      <c r="HB271" s="2297"/>
      <c r="HC271" s="2297"/>
      <c r="HD271" s="2297"/>
      <c r="HE271" s="2297"/>
      <c r="HF271" s="2297"/>
      <c r="HG271" s="2297"/>
      <c r="HH271" s="2297"/>
      <c r="HI271" s="2297"/>
      <c r="HJ271" s="2297"/>
      <c r="HK271" s="2297"/>
      <c r="HL271" s="2297"/>
      <c r="HM271" s="2297"/>
      <c r="HN271" s="2297"/>
      <c r="HO271" s="2297"/>
      <c r="HP271" s="2297"/>
      <c r="HQ271" s="2297"/>
      <c r="HR271" s="2297"/>
      <c r="HS271" s="2297"/>
      <c r="HT271" s="2297"/>
      <c r="HU271" s="2297"/>
      <c r="HV271" s="2297"/>
      <c r="HW271" s="2297"/>
      <c r="HX271" s="2297"/>
      <c r="HY271" s="2297"/>
      <c r="HZ271" s="2297"/>
      <c r="IA271" s="2297"/>
      <c r="IB271" s="2297"/>
      <c r="IC271" s="2297"/>
      <c r="ID271" s="2297"/>
      <c r="IE271" s="2297"/>
      <c r="IF271" s="2297"/>
      <c r="IG271" s="2297"/>
      <c r="IH271" s="2297"/>
      <c r="II271" s="2297"/>
      <c r="IJ271" s="2297"/>
      <c r="IK271" s="2297"/>
      <c r="IL271" s="2297"/>
      <c r="IM271" s="2297"/>
      <c r="IN271" s="2297"/>
      <c r="IO271" s="2297"/>
      <c r="IP271" s="2297"/>
      <c r="IQ271" s="2297"/>
      <c r="IR271" s="2297"/>
      <c r="IS271" s="2297"/>
      <c r="IT271" s="2297"/>
      <c r="IU271" s="2297"/>
      <c r="IV271" s="2297"/>
    </row>
    <row r="272" spans="3:256">
      <c r="C272" s="2298"/>
      <c r="D272" s="2298"/>
      <c r="E272" s="2298"/>
      <c r="F272" s="2298"/>
      <c r="G272" s="2298"/>
      <c r="H272" s="2298"/>
      <c r="AC272" s="2297"/>
      <c r="AD272" s="2297"/>
      <c r="AE272" s="2297"/>
      <c r="AF272" s="2297"/>
      <c r="AG272" s="2297"/>
      <c r="AH272" s="2297"/>
      <c r="AI272" s="2297"/>
      <c r="AJ272" s="2297"/>
      <c r="AK272" s="2297"/>
      <c r="AL272" s="2297"/>
      <c r="AM272" s="2297"/>
      <c r="AN272" s="2297"/>
      <c r="AO272" s="2297"/>
      <c r="AP272" s="2297"/>
      <c r="AQ272" s="2297"/>
      <c r="AR272" s="2297"/>
      <c r="AS272" s="2297"/>
      <c r="AT272" s="2297"/>
      <c r="AU272" s="2297"/>
      <c r="AV272" s="2297"/>
      <c r="AW272" s="2297"/>
      <c r="AX272" s="2297"/>
      <c r="AY272" s="2297"/>
      <c r="AZ272" s="2297"/>
      <c r="BA272" s="2297"/>
      <c r="BB272" s="2297"/>
      <c r="BC272" s="2297"/>
      <c r="BD272" s="2297"/>
      <c r="BE272" s="2297"/>
      <c r="BF272" s="2297"/>
      <c r="BG272" s="2297"/>
      <c r="BH272" s="2297"/>
      <c r="BI272" s="2297"/>
      <c r="BJ272" s="2297"/>
      <c r="BK272" s="2297"/>
      <c r="BL272" s="2297"/>
      <c r="BM272" s="2297"/>
      <c r="BN272" s="2297"/>
      <c r="BO272" s="2297"/>
      <c r="BP272" s="2297"/>
      <c r="BQ272" s="2297"/>
      <c r="BR272" s="2297"/>
      <c r="BS272" s="2297"/>
      <c r="BT272" s="2297"/>
      <c r="BU272" s="2297"/>
      <c r="BV272" s="2297"/>
      <c r="BW272" s="2297"/>
      <c r="BX272" s="2297"/>
      <c r="BY272" s="2297"/>
      <c r="BZ272" s="2297"/>
      <c r="CA272" s="2297"/>
      <c r="CB272" s="2297"/>
      <c r="CC272" s="2297"/>
      <c r="CD272" s="2297"/>
      <c r="CE272" s="2297"/>
      <c r="CF272" s="2297"/>
      <c r="CG272" s="2297"/>
      <c r="CH272" s="2297"/>
      <c r="CI272" s="2297"/>
      <c r="CJ272" s="2297"/>
      <c r="CK272" s="2297"/>
      <c r="CL272" s="2297"/>
      <c r="CM272" s="2297"/>
      <c r="CN272" s="2297"/>
      <c r="CO272" s="2297"/>
      <c r="CP272" s="2297"/>
      <c r="CQ272" s="2297"/>
      <c r="CR272" s="2297"/>
      <c r="CS272" s="2297"/>
      <c r="CT272" s="2297"/>
      <c r="CU272" s="2297"/>
      <c r="CV272" s="2297"/>
      <c r="CW272" s="2297"/>
      <c r="CX272" s="2297"/>
      <c r="CY272" s="2297"/>
      <c r="CZ272" s="2297"/>
      <c r="DA272" s="2297"/>
      <c r="DB272" s="2297"/>
      <c r="DC272" s="2297"/>
      <c r="DD272" s="2297"/>
      <c r="DE272" s="2297"/>
      <c r="DF272" s="2297"/>
      <c r="DG272" s="2297"/>
      <c r="DH272" s="2297"/>
      <c r="DI272" s="2297"/>
      <c r="DJ272" s="2297"/>
      <c r="DK272" s="2297"/>
      <c r="DL272" s="2297"/>
      <c r="DM272" s="2297"/>
      <c r="DN272" s="2297"/>
      <c r="DO272" s="2297"/>
      <c r="DP272" s="2297"/>
      <c r="DQ272" s="2297"/>
      <c r="DR272" s="2297"/>
      <c r="DS272" s="2297"/>
      <c r="DT272" s="2297"/>
      <c r="DU272" s="2297"/>
      <c r="DV272" s="2297"/>
      <c r="DW272" s="2297"/>
      <c r="DX272" s="2297"/>
      <c r="DY272" s="2297"/>
      <c r="DZ272" s="2297"/>
      <c r="EA272" s="2297"/>
      <c r="EB272" s="2297"/>
      <c r="EC272" s="2297"/>
      <c r="ED272" s="2297"/>
      <c r="EE272" s="2297"/>
      <c r="EF272" s="2297"/>
      <c r="EG272" s="2297"/>
      <c r="EH272" s="2297"/>
      <c r="EI272" s="2297"/>
      <c r="EJ272" s="2297"/>
      <c r="EK272" s="2297"/>
      <c r="EL272" s="2297"/>
      <c r="EM272" s="2297"/>
      <c r="EN272" s="2297"/>
      <c r="EO272" s="2297"/>
      <c r="EP272" s="2297"/>
      <c r="EQ272" s="2297"/>
      <c r="ER272" s="2297"/>
      <c r="ES272" s="2297"/>
      <c r="ET272" s="2297"/>
      <c r="EU272" s="2297"/>
      <c r="EV272" s="2297"/>
      <c r="EW272" s="2297"/>
      <c r="EX272" s="2297"/>
      <c r="EY272" s="2297"/>
      <c r="EZ272" s="2297"/>
      <c r="FA272" s="2297"/>
      <c r="FB272" s="2297"/>
      <c r="FC272" s="2297"/>
      <c r="FD272" s="2297"/>
      <c r="FE272" s="2297"/>
      <c r="FF272" s="2297"/>
      <c r="FG272" s="2297"/>
      <c r="FH272" s="2297"/>
      <c r="FI272" s="2297"/>
      <c r="FJ272" s="2297"/>
      <c r="FK272" s="2297"/>
      <c r="FL272" s="2297"/>
      <c r="FM272" s="2297"/>
      <c r="FN272" s="2297"/>
      <c r="FO272" s="2297"/>
      <c r="FP272" s="2297"/>
      <c r="FQ272" s="2297"/>
      <c r="FR272" s="2297"/>
      <c r="FS272" s="2297"/>
      <c r="FT272" s="2297"/>
      <c r="FU272" s="2297"/>
      <c r="FV272" s="2297"/>
      <c r="FW272" s="2297"/>
      <c r="FX272" s="2297"/>
      <c r="FY272" s="2297"/>
      <c r="FZ272" s="2297"/>
      <c r="GA272" s="2297"/>
      <c r="GB272" s="2297"/>
      <c r="GC272" s="2297"/>
      <c r="GD272" s="2297"/>
      <c r="GE272" s="2297"/>
      <c r="GF272" s="2297"/>
      <c r="GG272" s="2297"/>
      <c r="GH272" s="2297"/>
      <c r="GI272" s="2297"/>
      <c r="GJ272" s="2297"/>
      <c r="GK272" s="2297"/>
      <c r="GL272" s="2297"/>
      <c r="GM272" s="2297"/>
      <c r="GN272" s="2297"/>
      <c r="GO272" s="2297"/>
      <c r="GP272" s="2297"/>
      <c r="GQ272" s="2297"/>
      <c r="GR272" s="2297"/>
      <c r="GS272" s="2297"/>
      <c r="GT272" s="2297"/>
      <c r="GU272" s="2297"/>
      <c r="GV272" s="2297"/>
      <c r="GW272" s="2297"/>
      <c r="GX272" s="2297"/>
      <c r="GY272" s="2297"/>
      <c r="GZ272" s="2297"/>
      <c r="HA272" s="2297"/>
      <c r="HB272" s="2297"/>
      <c r="HC272" s="2297"/>
      <c r="HD272" s="2297"/>
      <c r="HE272" s="2297"/>
      <c r="HF272" s="2297"/>
      <c r="HG272" s="2297"/>
      <c r="HH272" s="2297"/>
      <c r="HI272" s="2297"/>
      <c r="HJ272" s="2297"/>
      <c r="HK272" s="2297"/>
      <c r="HL272" s="2297"/>
      <c r="HM272" s="2297"/>
      <c r="HN272" s="2297"/>
      <c r="HO272" s="2297"/>
      <c r="HP272" s="2297"/>
      <c r="HQ272" s="2297"/>
      <c r="HR272" s="2297"/>
      <c r="HS272" s="2297"/>
      <c r="HT272" s="2297"/>
      <c r="HU272" s="2297"/>
      <c r="HV272" s="2297"/>
      <c r="HW272" s="2297"/>
      <c r="HX272" s="2297"/>
      <c r="HY272" s="2297"/>
      <c r="HZ272" s="2297"/>
      <c r="IA272" s="2297"/>
      <c r="IB272" s="2297"/>
      <c r="IC272" s="2297"/>
      <c r="ID272" s="2297"/>
      <c r="IE272" s="2297"/>
      <c r="IF272" s="2297"/>
      <c r="IG272" s="2297"/>
      <c r="IH272" s="2297"/>
      <c r="II272" s="2297"/>
      <c r="IJ272" s="2297"/>
      <c r="IK272" s="2297"/>
      <c r="IL272" s="2297"/>
      <c r="IM272" s="2297"/>
      <c r="IN272" s="2297"/>
      <c r="IO272" s="2297"/>
      <c r="IP272" s="2297"/>
      <c r="IQ272" s="2297"/>
      <c r="IR272" s="2297"/>
      <c r="IS272" s="2297"/>
      <c r="IT272" s="2297"/>
      <c r="IU272" s="2297"/>
      <c r="IV272" s="2297"/>
    </row>
    <row r="273" spans="3:256">
      <c r="C273" s="2298"/>
      <c r="D273" s="2298"/>
      <c r="E273" s="2298"/>
      <c r="F273" s="2298"/>
      <c r="G273" s="2298"/>
      <c r="H273" s="2298"/>
      <c r="AC273" s="2297"/>
      <c r="AD273" s="2297"/>
      <c r="AE273" s="2297"/>
      <c r="AF273" s="2297"/>
      <c r="AG273" s="2297"/>
      <c r="AH273" s="2297"/>
      <c r="AI273" s="2297"/>
      <c r="AJ273" s="2297"/>
      <c r="AK273" s="2297"/>
      <c r="AL273" s="2297"/>
      <c r="AM273" s="2297"/>
      <c r="AN273" s="2297"/>
      <c r="AO273" s="2297"/>
      <c r="AP273" s="2297"/>
      <c r="AQ273" s="2297"/>
      <c r="AR273" s="2297"/>
      <c r="AS273" s="2297"/>
      <c r="AT273" s="2297"/>
      <c r="AU273" s="2297"/>
      <c r="AV273" s="2297"/>
      <c r="AW273" s="2297"/>
      <c r="AX273" s="2297"/>
      <c r="AY273" s="2297"/>
      <c r="AZ273" s="2297"/>
      <c r="BA273" s="2297"/>
      <c r="BB273" s="2297"/>
      <c r="BC273" s="2297"/>
      <c r="BD273" s="2297"/>
      <c r="BE273" s="2297"/>
      <c r="BF273" s="2297"/>
      <c r="BG273" s="2297"/>
      <c r="BH273" s="2297"/>
      <c r="BI273" s="2297"/>
      <c r="BJ273" s="2297"/>
      <c r="BK273" s="2297"/>
      <c r="BL273" s="2297"/>
      <c r="BM273" s="2297"/>
      <c r="BN273" s="2297"/>
      <c r="BO273" s="2297"/>
      <c r="BP273" s="2297"/>
      <c r="BQ273" s="2297"/>
      <c r="BR273" s="2297"/>
      <c r="BS273" s="2297"/>
      <c r="BT273" s="2297"/>
      <c r="BU273" s="2297"/>
      <c r="BV273" s="2297"/>
      <c r="BW273" s="2297"/>
      <c r="BX273" s="2297"/>
      <c r="BY273" s="2297"/>
      <c r="BZ273" s="2297"/>
      <c r="CA273" s="2297"/>
      <c r="CB273" s="2297"/>
      <c r="CC273" s="2297"/>
      <c r="CD273" s="2297"/>
      <c r="CE273" s="2297"/>
      <c r="CF273" s="2297"/>
      <c r="CG273" s="2297"/>
      <c r="CH273" s="2297"/>
      <c r="CI273" s="2297"/>
      <c r="CJ273" s="2297"/>
      <c r="CK273" s="2297"/>
      <c r="CL273" s="2297"/>
      <c r="CM273" s="2297"/>
      <c r="CN273" s="2297"/>
      <c r="CO273" s="2297"/>
      <c r="CP273" s="2297"/>
      <c r="CQ273" s="2297"/>
      <c r="CR273" s="2297"/>
      <c r="CS273" s="2297"/>
      <c r="CT273" s="2297"/>
      <c r="CU273" s="2297"/>
      <c r="CV273" s="2297"/>
      <c r="CW273" s="2297"/>
      <c r="CX273" s="2297"/>
      <c r="CY273" s="2297"/>
      <c r="CZ273" s="2297"/>
      <c r="DA273" s="2297"/>
      <c r="DB273" s="2297"/>
      <c r="DC273" s="2297"/>
      <c r="DD273" s="2297"/>
      <c r="DE273" s="2297"/>
      <c r="DF273" s="2297"/>
      <c r="DG273" s="2297"/>
      <c r="DH273" s="2297"/>
      <c r="DI273" s="2297"/>
      <c r="DJ273" s="2297"/>
      <c r="DK273" s="2297"/>
      <c r="DL273" s="2297"/>
      <c r="DM273" s="2297"/>
      <c r="DN273" s="2297"/>
      <c r="DO273" s="2297"/>
      <c r="DP273" s="2297"/>
      <c r="DQ273" s="2297"/>
      <c r="DR273" s="2297"/>
      <c r="DS273" s="2297"/>
      <c r="DT273" s="2297"/>
      <c r="DU273" s="2297"/>
      <c r="DV273" s="2297"/>
      <c r="DW273" s="2297"/>
      <c r="DX273" s="2297"/>
      <c r="DY273" s="2297"/>
      <c r="DZ273" s="2297"/>
      <c r="EA273" s="2297"/>
      <c r="EB273" s="2297"/>
      <c r="EC273" s="2297"/>
      <c r="ED273" s="2297"/>
      <c r="EE273" s="2297"/>
      <c r="EF273" s="2297"/>
      <c r="EG273" s="2297"/>
      <c r="EH273" s="2297"/>
      <c r="EI273" s="2297"/>
      <c r="EJ273" s="2297"/>
      <c r="EK273" s="2297"/>
      <c r="EL273" s="2297"/>
      <c r="EM273" s="2297"/>
      <c r="EN273" s="2297"/>
      <c r="EO273" s="2297"/>
      <c r="EP273" s="2297"/>
      <c r="EQ273" s="2297"/>
      <c r="ER273" s="2297"/>
      <c r="ES273" s="2297"/>
      <c r="ET273" s="2297"/>
      <c r="EU273" s="2297"/>
      <c r="EV273" s="2297"/>
      <c r="EW273" s="2297"/>
      <c r="EX273" s="2297"/>
      <c r="EY273" s="2297"/>
      <c r="EZ273" s="2297"/>
      <c r="FA273" s="2297"/>
      <c r="FB273" s="2297"/>
      <c r="FC273" s="2297"/>
      <c r="FD273" s="2297"/>
      <c r="FE273" s="2297"/>
      <c r="FF273" s="2297"/>
      <c r="FG273" s="2297"/>
      <c r="FH273" s="2297"/>
      <c r="FI273" s="2297"/>
      <c r="FJ273" s="2297"/>
      <c r="FK273" s="2297"/>
      <c r="FL273" s="2297"/>
      <c r="FM273" s="2297"/>
      <c r="FN273" s="2297"/>
      <c r="FO273" s="2297"/>
      <c r="FP273" s="2297"/>
      <c r="FQ273" s="2297"/>
      <c r="FR273" s="2297"/>
      <c r="FS273" s="2297"/>
      <c r="FT273" s="2297"/>
      <c r="FU273" s="2297"/>
      <c r="FV273" s="2297"/>
      <c r="FW273" s="2297"/>
      <c r="FX273" s="2297"/>
      <c r="FY273" s="2297"/>
      <c r="FZ273" s="2297"/>
      <c r="GA273" s="2297"/>
      <c r="GB273" s="2297"/>
      <c r="GC273" s="2297"/>
      <c r="GD273" s="2297"/>
      <c r="GE273" s="2297"/>
      <c r="GF273" s="2297"/>
      <c r="GG273" s="2297"/>
      <c r="GH273" s="2297"/>
      <c r="GI273" s="2297"/>
      <c r="GJ273" s="2297"/>
      <c r="GK273" s="2297"/>
      <c r="GL273" s="2297"/>
      <c r="GM273" s="2297"/>
      <c r="GN273" s="2297"/>
      <c r="GO273" s="2297"/>
      <c r="GP273" s="2297"/>
      <c r="GQ273" s="2297"/>
      <c r="GR273" s="2297"/>
      <c r="GS273" s="2297"/>
      <c r="GT273" s="2297"/>
      <c r="GU273" s="2297"/>
      <c r="GV273" s="2297"/>
      <c r="GW273" s="2297"/>
      <c r="GX273" s="2297"/>
      <c r="GY273" s="2297"/>
      <c r="GZ273" s="2297"/>
      <c r="HA273" s="2297"/>
      <c r="HB273" s="2297"/>
      <c r="HC273" s="2297"/>
      <c r="HD273" s="2297"/>
      <c r="HE273" s="2297"/>
      <c r="HF273" s="2297"/>
      <c r="HG273" s="2297"/>
      <c r="HH273" s="2297"/>
      <c r="HI273" s="2297"/>
      <c r="HJ273" s="2297"/>
      <c r="HK273" s="2297"/>
      <c r="HL273" s="2297"/>
      <c r="HM273" s="2297"/>
      <c r="HN273" s="2297"/>
      <c r="HO273" s="2297"/>
      <c r="HP273" s="2297"/>
      <c r="HQ273" s="2297"/>
      <c r="HR273" s="2297"/>
      <c r="HS273" s="2297"/>
      <c r="HT273" s="2297"/>
      <c r="HU273" s="2297"/>
      <c r="HV273" s="2297"/>
      <c r="HW273" s="2297"/>
      <c r="HX273" s="2297"/>
      <c r="HY273" s="2297"/>
      <c r="HZ273" s="2297"/>
      <c r="IA273" s="2297"/>
      <c r="IB273" s="2297"/>
      <c r="IC273" s="2297"/>
      <c r="ID273" s="2297"/>
      <c r="IE273" s="2297"/>
      <c r="IF273" s="2297"/>
      <c r="IG273" s="2297"/>
      <c r="IH273" s="2297"/>
      <c r="II273" s="2297"/>
      <c r="IJ273" s="2297"/>
      <c r="IK273" s="2297"/>
      <c r="IL273" s="2297"/>
      <c r="IM273" s="2297"/>
      <c r="IN273" s="2297"/>
      <c r="IO273" s="2297"/>
      <c r="IP273" s="2297"/>
      <c r="IQ273" s="2297"/>
      <c r="IR273" s="2297"/>
      <c r="IS273" s="2297"/>
      <c r="IT273" s="2297"/>
      <c r="IU273" s="2297"/>
      <c r="IV273" s="2297"/>
    </row>
    <row r="274" spans="3:256">
      <c r="C274" s="2298"/>
      <c r="D274" s="2298"/>
      <c r="E274" s="2298"/>
      <c r="F274" s="2298"/>
      <c r="G274" s="2298"/>
      <c r="H274" s="2298"/>
      <c r="AC274" s="2297"/>
      <c r="AD274" s="2297"/>
      <c r="AE274" s="2297"/>
      <c r="AF274" s="2297"/>
      <c r="AG274" s="2297"/>
      <c r="AH274" s="2297"/>
      <c r="AI274" s="2297"/>
      <c r="AJ274" s="2297"/>
      <c r="AK274" s="2297"/>
      <c r="AL274" s="2297"/>
      <c r="AM274" s="2297"/>
      <c r="AN274" s="2297"/>
      <c r="AO274" s="2297"/>
      <c r="AP274" s="2297"/>
      <c r="AQ274" s="2297"/>
      <c r="AR274" s="2297"/>
      <c r="AS274" s="2297"/>
      <c r="AT274" s="2297"/>
      <c r="AU274" s="2297"/>
      <c r="AV274" s="2297"/>
      <c r="AW274" s="2297"/>
      <c r="AX274" s="2297"/>
      <c r="AY274" s="2297"/>
      <c r="AZ274" s="2297"/>
      <c r="BA274" s="2297"/>
      <c r="BB274" s="2297"/>
      <c r="BC274" s="2297"/>
      <c r="BD274" s="2297"/>
      <c r="BE274" s="2297"/>
      <c r="BF274" s="2297"/>
      <c r="BG274" s="2297"/>
      <c r="BH274" s="2297"/>
      <c r="BI274" s="2297"/>
      <c r="BJ274" s="2297"/>
      <c r="BK274" s="2297"/>
      <c r="BL274" s="2297"/>
      <c r="BM274" s="2297"/>
      <c r="BN274" s="2297"/>
      <c r="BO274" s="2297"/>
      <c r="BP274" s="2297"/>
      <c r="BQ274" s="2297"/>
      <c r="BR274" s="2297"/>
      <c r="BS274" s="2297"/>
      <c r="BT274" s="2297"/>
      <c r="BU274" s="2297"/>
      <c r="BV274" s="2297"/>
      <c r="BW274" s="2297"/>
      <c r="BX274" s="2297"/>
      <c r="BY274" s="2297"/>
      <c r="BZ274" s="2297"/>
      <c r="CA274" s="2297"/>
      <c r="CB274" s="2297"/>
      <c r="CC274" s="2297"/>
      <c r="CD274" s="2297"/>
      <c r="CE274" s="2297"/>
      <c r="CF274" s="2297"/>
      <c r="CG274" s="2297"/>
      <c r="CH274" s="2297"/>
      <c r="CI274" s="2297"/>
      <c r="CJ274" s="2297"/>
      <c r="CK274" s="2297"/>
      <c r="CL274" s="2297"/>
      <c r="CM274" s="2297"/>
      <c r="CN274" s="2297"/>
      <c r="CO274" s="2297"/>
      <c r="CP274" s="2297"/>
      <c r="CQ274" s="2297"/>
      <c r="CR274" s="2297"/>
      <c r="CS274" s="2297"/>
      <c r="CT274" s="2297"/>
      <c r="CU274" s="2297"/>
      <c r="CV274" s="2297"/>
      <c r="CW274" s="2297"/>
      <c r="CX274" s="2297"/>
      <c r="CY274" s="2297"/>
      <c r="CZ274" s="2297"/>
      <c r="DA274" s="2297"/>
      <c r="DB274" s="2297"/>
      <c r="DC274" s="2297"/>
      <c r="DD274" s="2297"/>
      <c r="DE274" s="2297"/>
      <c r="DF274" s="2297"/>
      <c r="DG274" s="2297"/>
      <c r="DH274" s="2297"/>
      <c r="DI274" s="2297"/>
      <c r="DJ274" s="2297"/>
      <c r="DK274" s="2297"/>
      <c r="DL274" s="2297"/>
      <c r="DM274" s="2297"/>
      <c r="DN274" s="2297"/>
      <c r="DO274" s="2297"/>
      <c r="DP274" s="2297"/>
      <c r="DQ274" s="2297"/>
      <c r="DR274" s="2297"/>
      <c r="DS274" s="2297"/>
      <c r="DT274" s="2297"/>
      <c r="DU274" s="2297"/>
      <c r="DV274" s="2297"/>
      <c r="DW274" s="2297"/>
      <c r="DX274" s="2297"/>
      <c r="DY274" s="2297"/>
      <c r="DZ274" s="2297"/>
      <c r="EA274" s="2297"/>
      <c r="EB274" s="2297"/>
      <c r="EC274" s="2297"/>
      <c r="ED274" s="2297"/>
      <c r="EE274" s="2297"/>
      <c r="EF274" s="2297"/>
      <c r="EG274" s="2297"/>
      <c r="EH274" s="2297"/>
      <c r="EI274" s="2297"/>
      <c r="EJ274" s="2297"/>
      <c r="EK274" s="2297"/>
      <c r="EL274" s="2297"/>
      <c r="EM274" s="2297"/>
      <c r="EN274" s="2297"/>
      <c r="EO274" s="2297"/>
      <c r="EP274" s="2297"/>
      <c r="EQ274" s="2297"/>
      <c r="ER274" s="2297"/>
      <c r="ES274" s="2297"/>
      <c r="ET274" s="2297"/>
      <c r="EU274" s="2297"/>
      <c r="EV274" s="2297"/>
      <c r="EW274" s="2297"/>
      <c r="EX274" s="2297"/>
      <c r="EY274" s="2297"/>
      <c r="EZ274" s="2297"/>
      <c r="FA274" s="2297"/>
      <c r="FB274" s="2297"/>
      <c r="FC274" s="2297"/>
      <c r="FD274" s="2297"/>
      <c r="FE274" s="2297"/>
      <c r="FF274" s="2297"/>
      <c r="FG274" s="2297"/>
      <c r="FH274" s="2297"/>
      <c r="FI274" s="2297"/>
      <c r="FJ274" s="2297"/>
      <c r="FK274" s="2297"/>
      <c r="FL274" s="2297"/>
      <c r="FM274" s="2297"/>
      <c r="FN274" s="2297"/>
      <c r="FO274" s="2297"/>
      <c r="FP274" s="2297"/>
      <c r="FQ274" s="2297"/>
      <c r="FR274" s="2297"/>
      <c r="FS274" s="2297"/>
      <c r="FT274" s="2297"/>
      <c r="FU274" s="2297"/>
      <c r="FV274" s="2297"/>
      <c r="FW274" s="2297"/>
      <c r="FX274" s="2297"/>
      <c r="FY274" s="2297"/>
      <c r="FZ274" s="2297"/>
      <c r="GA274" s="2297"/>
      <c r="GB274" s="2297"/>
      <c r="GC274" s="2297"/>
      <c r="GD274" s="2297"/>
      <c r="GE274" s="2297"/>
      <c r="GF274" s="2297"/>
      <c r="GG274" s="2297"/>
      <c r="GH274" s="2297"/>
      <c r="GI274" s="2297"/>
      <c r="GJ274" s="2297"/>
      <c r="GK274" s="2297"/>
      <c r="GL274" s="2297"/>
      <c r="GM274" s="2297"/>
      <c r="GN274" s="2297"/>
      <c r="GO274" s="2297"/>
      <c r="GP274" s="2297"/>
      <c r="GQ274" s="2297"/>
      <c r="GR274" s="2297"/>
      <c r="GS274" s="2297"/>
      <c r="GT274" s="2297"/>
      <c r="GU274" s="2297"/>
      <c r="GV274" s="2297"/>
      <c r="GW274" s="2297"/>
      <c r="GX274" s="2297"/>
      <c r="GY274" s="2297"/>
      <c r="GZ274" s="2297"/>
      <c r="HA274" s="2297"/>
      <c r="HB274" s="2297"/>
      <c r="HC274" s="2297"/>
      <c r="HD274" s="2297"/>
      <c r="HE274" s="2297"/>
      <c r="HF274" s="2297"/>
      <c r="HG274" s="2297"/>
      <c r="HH274" s="2297"/>
      <c r="HI274" s="2297"/>
      <c r="HJ274" s="2297"/>
      <c r="HK274" s="2297"/>
      <c r="HL274" s="2297"/>
      <c r="HM274" s="2297"/>
      <c r="HN274" s="2297"/>
      <c r="HO274" s="2297"/>
      <c r="HP274" s="2297"/>
      <c r="HQ274" s="2297"/>
      <c r="HR274" s="2297"/>
      <c r="HS274" s="2297"/>
      <c r="HT274" s="2297"/>
      <c r="HU274" s="2297"/>
      <c r="HV274" s="2297"/>
      <c r="HW274" s="2297"/>
      <c r="HX274" s="2297"/>
      <c r="HY274" s="2297"/>
      <c r="HZ274" s="2297"/>
      <c r="IA274" s="2297"/>
      <c r="IB274" s="2297"/>
      <c r="IC274" s="2297"/>
      <c r="ID274" s="2297"/>
      <c r="IE274" s="2297"/>
      <c r="IF274" s="2297"/>
      <c r="IG274" s="2297"/>
      <c r="IH274" s="2297"/>
      <c r="II274" s="2297"/>
      <c r="IJ274" s="2297"/>
      <c r="IK274" s="2297"/>
      <c r="IL274" s="2297"/>
      <c r="IM274" s="2297"/>
      <c r="IN274" s="2297"/>
      <c r="IO274" s="2297"/>
      <c r="IP274" s="2297"/>
      <c r="IQ274" s="2297"/>
      <c r="IR274" s="2297"/>
      <c r="IS274" s="2297"/>
      <c r="IT274" s="2297"/>
      <c r="IU274" s="2297"/>
      <c r="IV274" s="2297"/>
    </row>
    <row r="275" spans="3:256">
      <c r="C275" s="2298"/>
      <c r="D275" s="2298"/>
      <c r="E275" s="2298"/>
      <c r="F275" s="2298"/>
      <c r="G275" s="2298"/>
      <c r="H275" s="2298"/>
      <c r="AC275" s="2297"/>
      <c r="AD275" s="2297"/>
      <c r="AE275" s="2297"/>
      <c r="AF275" s="2297"/>
      <c r="AG275" s="2297"/>
      <c r="AH275" s="2297"/>
      <c r="AI275" s="2297"/>
      <c r="AJ275" s="2297"/>
      <c r="AK275" s="2297"/>
      <c r="AL275" s="2297"/>
      <c r="AM275" s="2297"/>
      <c r="AN275" s="2297"/>
      <c r="AO275" s="2297"/>
      <c r="AP275" s="2297"/>
      <c r="AQ275" s="2297"/>
      <c r="AR275" s="2297"/>
      <c r="AS275" s="2297"/>
      <c r="AT275" s="2297"/>
      <c r="AU275" s="2297"/>
      <c r="AV275" s="2297"/>
      <c r="AW275" s="2297"/>
      <c r="AX275" s="2297"/>
      <c r="AY275" s="2297"/>
      <c r="AZ275" s="2297"/>
      <c r="BA275" s="2297"/>
      <c r="BB275" s="2297"/>
      <c r="BC275" s="2297"/>
      <c r="BD275" s="2297"/>
      <c r="BE275" s="2297"/>
      <c r="BF275" s="2297"/>
      <c r="BG275" s="2297"/>
      <c r="BH275" s="2297"/>
      <c r="BI275" s="2297"/>
      <c r="BJ275" s="2297"/>
      <c r="BK275" s="2297"/>
      <c r="BL275" s="2297"/>
      <c r="BM275" s="2297"/>
      <c r="BN275" s="2297"/>
      <c r="BO275" s="2297"/>
      <c r="BP275" s="2297"/>
      <c r="BQ275" s="2297"/>
      <c r="BR275" s="2297"/>
      <c r="BS275" s="2297"/>
      <c r="BT275" s="2297"/>
      <c r="BU275" s="2297"/>
      <c r="BV275" s="2297"/>
      <c r="BW275" s="2297"/>
      <c r="BX275" s="2297"/>
      <c r="BY275" s="2297"/>
      <c r="BZ275" s="2297"/>
      <c r="CA275" s="2297"/>
      <c r="CB275" s="2297"/>
      <c r="CC275" s="2297"/>
      <c r="CD275" s="2297"/>
      <c r="CE275" s="2297"/>
      <c r="CF275" s="2297"/>
      <c r="CG275" s="2297"/>
      <c r="CH275" s="2297"/>
      <c r="CI275" s="2297"/>
      <c r="CJ275" s="2297"/>
      <c r="CK275" s="2297"/>
      <c r="CL275" s="2297"/>
      <c r="CM275" s="2297"/>
      <c r="CN275" s="2297"/>
      <c r="CO275" s="2297"/>
      <c r="CP275" s="2297"/>
      <c r="CQ275" s="2297"/>
      <c r="CR275" s="2297"/>
      <c r="CS275" s="2297"/>
      <c r="CT275" s="2297"/>
      <c r="CU275" s="2297"/>
      <c r="CV275" s="2297"/>
      <c r="CW275" s="2297"/>
      <c r="CX275" s="2297"/>
      <c r="CY275" s="2297"/>
      <c r="CZ275" s="2297"/>
      <c r="DA275" s="2297"/>
      <c r="DB275" s="2297"/>
      <c r="DC275" s="2297"/>
      <c r="DD275" s="2297"/>
      <c r="DE275" s="2297"/>
      <c r="DF275" s="2297"/>
      <c r="DG275" s="2297"/>
      <c r="DH275" s="2297"/>
      <c r="DI275" s="2297"/>
      <c r="DJ275" s="2297"/>
      <c r="DK275" s="2297"/>
      <c r="DL275" s="2297"/>
      <c r="DM275" s="2297"/>
      <c r="DN275" s="2297"/>
      <c r="DO275" s="2297"/>
      <c r="DP275" s="2297"/>
      <c r="DQ275" s="2297"/>
      <c r="DR275" s="2297"/>
      <c r="DS275" s="2297"/>
      <c r="DT275" s="2297"/>
      <c r="DU275" s="2297"/>
      <c r="DV275" s="2297"/>
      <c r="DW275" s="2297"/>
      <c r="DX275" s="2297"/>
      <c r="DY275" s="2297"/>
      <c r="DZ275" s="2297"/>
      <c r="EA275" s="2297"/>
      <c r="EB275" s="2297"/>
      <c r="EC275" s="2297"/>
      <c r="ED275" s="2297"/>
      <c r="EE275" s="2297"/>
      <c r="EF275" s="2297"/>
      <c r="EG275" s="2297"/>
      <c r="EH275" s="2297"/>
      <c r="EI275" s="2297"/>
      <c r="EJ275" s="2297"/>
      <c r="EK275" s="2297"/>
      <c r="EL275" s="2297"/>
      <c r="EM275" s="2297"/>
      <c r="EN275" s="2297"/>
      <c r="EO275" s="2297"/>
      <c r="EP275" s="2297"/>
      <c r="EQ275" s="2297"/>
      <c r="ER275" s="2297"/>
      <c r="ES275" s="2297"/>
      <c r="ET275" s="2297"/>
      <c r="EU275" s="2297"/>
      <c r="EV275" s="2297"/>
      <c r="EW275" s="2297"/>
      <c r="EX275" s="2297"/>
      <c r="EY275" s="2297"/>
      <c r="EZ275" s="2297"/>
      <c r="FA275" s="2297"/>
      <c r="FB275" s="2297"/>
      <c r="FC275" s="2297"/>
      <c r="FD275" s="2297"/>
      <c r="FE275" s="2297"/>
      <c r="FF275" s="2297"/>
      <c r="FG275" s="2297"/>
      <c r="FH275" s="2297"/>
      <c r="FI275" s="2297"/>
      <c r="FJ275" s="2297"/>
      <c r="FK275" s="2297"/>
      <c r="FL275" s="2297"/>
      <c r="FM275" s="2297"/>
      <c r="FN275" s="2297"/>
      <c r="FO275" s="2297"/>
      <c r="FP275" s="2297"/>
      <c r="FQ275" s="2297"/>
      <c r="FR275" s="2297"/>
      <c r="FS275" s="2297"/>
      <c r="FT275" s="2297"/>
      <c r="FU275" s="2297"/>
      <c r="FV275" s="2297"/>
      <c r="FW275" s="2297"/>
      <c r="FX275" s="2297"/>
      <c r="FY275" s="2297"/>
      <c r="FZ275" s="2297"/>
      <c r="GA275" s="2297"/>
      <c r="GB275" s="2297"/>
      <c r="GC275" s="2297"/>
      <c r="GD275" s="2297"/>
      <c r="GE275" s="2297"/>
      <c r="GF275" s="2297"/>
      <c r="GG275" s="2297"/>
      <c r="GH275" s="2297"/>
      <c r="GI275" s="2297"/>
      <c r="GJ275" s="2297"/>
      <c r="GK275" s="2297"/>
      <c r="GL275" s="2297"/>
      <c r="GM275" s="2297"/>
      <c r="GN275" s="2297"/>
      <c r="GO275" s="2297"/>
      <c r="GP275" s="2297"/>
      <c r="GQ275" s="2297"/>
      <c r="GR275" s="2297"/>
      <c r="GS275" s="2297"/>
      <c r="GT275" s="2297"/>
      <c r="GU275" s="2297"/>
      <c r="GV275" s="2297"/>
      <c r="GW275" s="2297"/>
      <c r="GX275" s="2297"/>
      <c r="GY275" s="2297"/>
      <c r="GZ275" s="2297"/>
      <c r="HA275" s="2297"/>
      <c r="HB275" s="2297"/>
      <c r="HC275" s="2297"/>
      <c r="HD275" s="2297"/>
      <c r="HE275" s="2297"/>
      <c r="HF275" s="2297"/>
      <c r="HG275" s="2297"/>
      <c r="HH275" s="2297"/>
      <c r="HI275" s="2297"/>
      <c r="HJ275" s="2297"/>
      <c r="HK275" s="2297"/>
      <c r="HL275" s="2297"/>
      <c r="HM275" s="2297"/>
      <c r="HN275" s="2297"/>
      <c r="HO275" s="2297"/>
      <c r="HP275" s="2297"/>
      <c r="HQ275" s="2297"/>
      <c r="HR275" s="2297"/>
      <c r="HS275" s="2297"/>
      <c r="HT275" s="2297"/>
      <c r="HU275" s="2297"/>
      <c r="HV275" s="2297"/>
      <c r="HW275" s="2297"/>
      <c r="HX275" s="2297"/>
      <c r="HY275" s="2297"/>
      <c r="HZ275" s="2297"/>
      <c r="IA275" s="2297"/>
      <c r="IB275" s="2297"/>
      <c r="IC275" s="2297"/>
      <c r="ID275" s="2297"/>
      <c r="IE275" s="2297"/>
      <c r="IF275" s="2297"/>
      <c r="IG275" s="2297"/>
      <c r="IH275" s="2297"/>
      <c r="II275" s="2297"/>
      <c r="IJ275" s="2297"/>
      <c r="IK275" s="2297"/>
      <c r="IL275" s="2297"/>
      <c r="IM275" s="2297"/>
      <c r="IN275" s="2297"/>
      <c r="IO275" s="2297"/>
      <c r="IP275" s="2297"/>
      <c r="IQ275" s="2297"/>
      <c r="IR275" s="2297"/>
      <c r="IS275" s="2297"/>
      <c r="IT275" s="2297"/>
      <c r="IU275" s="2297"/>
      <c r="IV275" s="2297"/>
    </row>
    <row r="276" spans="3:256">
      <c r="C276" s="2298"/>
      <c r="D276" s="2298"/>
      <c r="E276" s="2298"/>
      <c r="F276" s="2298"/>
      <c r="G276" s="2298"/>
      <c r="H276" s="2298"/>
      <c r="AC276" s="2297"/>
      <c r="AD276" s="2297"/>
      <c r="AE276" s="2297"/>
      <c r="AF276" s="2297"/>
      <c r="AG276" s="2297"/>
      <c r="AH276" s="2297"/>
      <c r="AI276" s="2297"/>
      <c r="AJ276" s="2297"/>
      <c r="AK276" s="2297"/>
      <c r="AL276" s="2297"/>
      <c r="AM276" s="2297"/>
      <c r="AN276" s="2297"/>
      <c r="AO276" s="2297"/>
      <c r="AP276" s="2297"/>
      <c r="AQ276" s="2297"/>
      <c r="AR276" s="2297"/>
      <c r="AS276" s="2297"/>
      <c r="AT276" s="2297"/>
      <c r="AU276" s="2297"/>
      <c r="AV276" s="2297"/>
      <c r="AW276" s="2297"/>
      <c r="AX276" s="2297"/>
      <c r="AY276" s="2297"/>
      <c r="AZ276" s="2297"/>
      <c r="BA276" s="2297"/>
      <c r="BB276" s="2297"/>
      <c r="BC276" s="2297"/>
      <c r="BD276" s="2297"/>
      <c r="BE276" s="2297"/>
      <c r="BF276" s="2297"/>
      <c r="BG276" s="2297"/>
      <c r="BH276" s="2297"/>
      <c r="BI276" s="2297"/>
      <c r="BJ276" s="2297"/>
      <c r="BK276" s="2297"/>
      <c r="BL276" s="2297"/>
      <c r="BM276" s="2297"/>
      <c r="BN276" s="2297"/>
      <c r="BO276" s="2297"/>
      <c r="BP276" s="2297"/>
      <c r="BQ276" s="2297"/>
      <c r="BR276" s="2297"/>
      <c r="BS276" s="2297"/>
      <c r="BT276" s="2297"/>
      <c r="BU276" s="2297"/>
      <c r="BV276" s="2297"/>
      <c r="BW276" s="2297"/>
      <c r="BX276" s="2297"/>
      <c r="BY276" s="2297"/>
      <c r="BZ276" s="2297"/>
      <c r="CA276" s="2297"/>
      <c r="CB276" s="2297"/>
      <c r="CC276" s="2297"/>
      <c r="CD276" s="2297"/>
      <c r="CE276" s="2297"/>
      <c r="CF276" s="2297"/>
      <c r="CG276" s="2297"/>
      <c r="CH276" s="2297"/>
      <c r="CI276" s="2297"/>
      <c r="CJ276" s="2297"/>
      <c r="CK276" s="2297"/>
      <c r="CL276" s="2297"/>
      <c r="CM276" s="2297"/>
      <c r="CN276" s="2297"/>
      <c r="CO276" s="2297"/>
      <c r="CP276" s="2297"/>
      <c r="CQ276" s="2297"/>
      <c r="CR276" s="2297"/>
      <c r="CS276" s="2297"/>
      <c r="CT276" s="2297"/>
      <c r="CU276" s="2297"/>
      <c r="CV276" s="2297"/>
      <c r="CW276" s="2297"/>
      <c r="CX276" s="2297"/>
      <c r="CY276" s="2297"/>
      <c r="CZ276" s="2297"/>
      <c r="DA276" s="2297"/>
      <c r="DB276" s="2297"/>
      <c r="DC276" s="2297"/>
      <c r="DD276" s="2297"/>
      <c r="DE276" s="2297"/>
      <c r="DF276" s="2297"/>
      <c r="DG276" s="2297"/>
      <c r="DH276" s="2297"/>
      <c r="DI276" s="2297"/>
      <c r="DJ276" s="2297"/>
      <c r="DK276" s="2297"/>
      <c r="DL276" s="2297"/>
      <c r="DM276" s="2297"/>
      <c r="DN276" s="2297"/>
      <c r="DO276" s="2297"/>
      <c r="DP276" s="2297"/>
      <c r="DQ276" s="2297"/>
      <c r="DR276" s="2297"/>
      <c r="DS276" s="2297"/>
      <c r="DT276" s="2297"/>
      <c r="DU276" s="2297"/>
      <c r="DV276" s="2297"/>
      <c r="DW276" s="2297"/>
      <c r="DX276" s="2297"/>
      <c r="DY276" s="2297"/>
      <c r="DZ276" s="2297"/>
      <c r="EA276" s="2297"/>
      <c r="EB276" s="2297"/>
      <c r="EC276" s="2297"/>
      <c r="ED276" s="2297"/>
      <c r="EE276" s="2297"/>
      <c r="EF276" s="2297"/>
      <c r="EG276" s="2297"/>
      <c r="EH276" s="2297"/>
      <c r="EI276" s="2297"/>
      <c r="EJ276" s="2297"/>
      <c r="EK276" s="2297"/>
      <c r="EL276" s="2297"/>
      <c r="EM276" s="2297"/>
      <c r="EN276" s="2297"/>
      <c r="EO276" s="2297"/>
      <c r="EP276" s="2297"/>
      <c r="EQ276" s="2297"/>
      <c r="ER276" s="2297"/>
      <c r="ES276" s="2297"/>
      <c r="ET276" s="2297"/>
      <c r="EU276" s="2297"/>
      <c r="EV276" s="2297"/>
      <c r="EW276" s="2297"/>
      <c r="EX276" s="2297"/>
      <c r="EY276" s="2297"/>
      <c r="EZ276" s="2297"/>
      <c r="FA276" s="2297"/>
      <c r="FB276" s="2297"/>
      <c r="FC276" s="2297"/>
      <c r="FD276" s="2297"/>
      <c r="FE276" s="2297"/>
      <c r="FF276" s="2297"/>
      <c r="FG276" s="2297"/>
      <c r="FH276" s="2297"/>
      <c r="FI276" s="2297"/>
      <c r="FJ276" s="2297"/>
      <c r="FK276" s="2297"/>
      <c r="FL276" s="2297"/>
      <c r="FM276" s="2297"/>
      <c r="FN276" s="2297"/>
      <c r="FO276" s="2297"/>
      <c r="FP276" s="2297"/>
      <c r="FQ276" s="2297"/>
      <c r="FR276" s="2297"/>
      <c r="FS276" s="2297"/>
      <c r="FT276" s="2297"/>
      <c r="FU276" s="2297"/>
      <c r="FV276" s="2297"/>
      <c r="FW276" s="2297"/>
      <c r="FX276" s="2297"/>
      <c r="FY276" s="2297"/>
      <c r="FZ276" s="2297"/>
      <c r="GA276" s="2297"/>
      <c r="GB276" s="2297"/>
      <c r="GC276" s="2297"/>
      <c r="GD276" s="2297"/>
      <c r="GE276" s="2297"/>
      <c r="GF276" s="2297"/>
      <c r="GG276" s="2297"/>
      <c r="GH276" s="2297"/>
      <c r="GI276" s="2297"/>
      <c r="GJ276" s="2297"/>
      <c r="GK276" s="2297"/>
      <c r="GL276" s="2297"/>
      <c r="GM276" s="2297"/>
      <c r="GN276" s="2297"/>
      <c r="GO276" s="2297"/>
      <c r="GP276" s="2297"/>
      <c r="GQ276" s="2297"/>
      <c r="GR276" s="2297"/>
      <c r="GS276" s="2297"/>
      <c r="GT276" s="2297"/>
      <c r="GU276" s="2297"/>
      <c r="GV276" s="2297"/>
      <c r="GW276" s="2297"/>
      <c r="GX276" s="2297"/>
      <c r="GY276" s="2297"/>
      <c r="GZ276" s="2297"/>
      <c r="HA276" s="2297"/>
      <c r="HB276" s="2297"/>
      <c r="HC276" s="2297"/>
      <c r="HD276" s="2297"/>
      <c r="HE276" s="2297"/>
      <c r="HF276" s="2297"/>
      <c r="HG276" s="2297"/>
      <c r="HH276" s="2297"/>
      <c r="HI276" s="2297"/>
      <c r="HJ276" s="2297"/>
      <c r="HK276" s="2297"/>
      <c r="HL276" s="2297"/>
      <c r="HM276" s="2297"/>
      <c r="HN276" s="2297"/>
      <c r="HO276" s="2297"/>
      <c r="HP276" s="2297"/>
      <c r="HQ276" s="2297"/>
      <c r="HR276" s="2297"/>
      <c r="HS276" s="2297"/>
      <c r="HT276" s="2297"/>
      <c r="HU276" s="2297"/>
      <c r="HV276" s="2297"/>
      <c r="HW276" s="2297"/>
      <c r="HX276" s="2297"/>
      <c r="HY276" s="2297"/>
      <c r="HZ276" s="2297"/>
      <c r="IA276" s="2297"/>
      <c r="IB276" s="2297"/>
      <c r="IC276" s="2297"/>
      <c r="ID276" s="2297"/>
      <c r="IE276" s="2297"/>
      <c r="IF276" s="2297"/>
      <c r="IG276" s="2297"/>
      <c r="IH276" s="2297"/>
      <c r="II276" s="2297"/>
      <c r="IJ276" s="2297"/>
      <c r="IK276" s="2297"/>
      <c r="IL276" s="2297"/>
      <c r="IM276" s="2297"/>
      <c r="IN276" s="2297"/>
      <c r="IO276" s="2297"/>
      <c r="IP276" s="2297"/>
      <c r="IQ276" s="2297"/>
      <c r="IR276" s="2297"/>
      <c r="IS276" s="2297"/>
      <c r="IT276" s="2297"/>
      <c r="IU276" s="2297"/>
      <c r="IV276" s="2297"/>
    </row>
    <row r="277" spans="3:256">
      <c r="C277" s="2298"/>
      <c r="D277" s="2298"/>
      <c r="E277" s="2298"/>
      <c r="F277" s="2298"/>
      <c r="G277" s="2298"/>
      <c r="H277" s="2298"/>
      <c r="AC277" s="2297"/>
      <c r="AD277" s="2297"/>
      <c r="AE277" s="2297"/>
      <c r="AF277" s="2297"/>
      <c r="AG277" s="2297"/>
      <c r="AH277" s="2297"/>
      <c r="AI277" s="2297"/>
      <c r="AJ277" s="2297"/>
      <c r="AK277" s="2297"/>
      <c r="AL277" s="2297"/>
      <c r="AM277" s="2297"/>
      <c r="AN277" s="2297"/>
      <c r="AO277" s="2297"/>
      <c r="AP277" s="2297"/>
      <c r="AQ277" s="2297"/>
      <c r="AR277" s="2297"/>
      <c r="AS277" s="2297"/>
      <c r="AT277" s="2297"/>
      <c r="AU277" s="2297"/>
      <c r="AV277" s="2297"/>
      <c r="AW277" s="2297"/>
      <c r="AX277" s="2297"/>
      <c r="AY277" s="2297"/>
      <c r="AZ277" s="2297"/>
      <c r="BA277" s="2297"/>
      <c r="BB277" s="2297"/>
      <c r="BC277" s="2297"/>
      <c r="BD277" s="2297"/>
      <c r="BE277" s="2297"/>
      <c r="BF277" s="2297"/>
      <c r="BG277" s="2297"/>
      <c r="BH277" s="2297"/>
      <c r="BI277" s="2297"/>
      <c r="BJ277" s="2297"/>
      <c r="BK277" s="2297"/>
      <c r="BL277" s="2297"/>
      <c r="BM277" s="2297"/>
      <c r="BN277" s="2297"/>
      <c r="BO277" s="2297"/>
      <c r="BP277" s="2297"/>
      <c r="BQ277" s="2297"/>
      <c r="BR277" s="2297"/>
      <c r="BS277" s="2297"/>
      <c r="BT277" s="2297"/>
      <c r="BU277" s="2297"/>
      <c r="BV277" s="2297"/>
      <c r="BW277" s="2297"/>
      <c r="BX277" s="2297"/>
      <c r="BY277" s="2297"/>
      <c r="BZ277" s="2297"/>
      <c r="CA277" s="2297"/>
      <c r="CB277" s="2297"/>
      <c r="CC277" s="2297"/>
      <c r="CD277" s="2297"/>
      <c r="CE277" s="2297"/>
      <c r="CF277" s="2297"/>
      <c r="CG277" s="2297"/>
      <c r="CH277" s="2297"/>
      <c r="CI277" s="2297"/>
      <c r="CJ277" s="2297"/>
      <c r="CK277" s="2297"/>
      <c r="CL277" s="2297"/>
      <c r="CM277" s="2297"/>
      <c r="CN277" s="2297"/>
      <c r="CO277" s="2297"/>
      <c r="CP277" s="2297"/>
      <c r="CQ277" s="2297"/>
      <c r="CR277" s="2297"/>
      <c r="CS277" s="2297"/>
      <c r="CT277" s="2297"/>
      <c r="CU277" s="2297"/>
      <c r="CV277" s="2297"/>
      <c r="CW277" s="2297"/>
      <c r="CX277" s="2297"/>
      <c r="CY277" s="2297"/>
      <c r="CZ277" s="2297"/>
      <c r="DA277" s="2297"/>
      <c r="DB277" s="2297"/>
      <c r="DC277" s="2297"/>
      <c r="DD277" s="2297"/>
      <c r="DE277" s="2297"/>
      <c r="DF277" s="2297"/>
      <c r="DG277" s="2297"/>
      <c r="DH277" s="2297"/>
      <c r="DI277" s="2297"/>
      <c r="DJ277" s="2297"/>
      <c r="DK277" s="2297"/>
      <c r="DL277" s="2297"/>
      <c r="DM277" s="2297"/>
      <c r="DN277" s="2297"/>
      <c r="DO277" s="2297"/>
      <c r="DP277" s="2297"/>
      <c r="DQ277" s="2297"/>
      <c r="DR277" s="2297"/>
      <c r="DS277" s="2297"/>
      <c r="DT277" s="2297"/>
      <c r="DU277" s="2297"/>
      <c r="DV277" s="2297"/>
      <c r="DW277" s="2297"/>
      <c r="DX277" s="2297"/>
      <c r="DY277" s="2297"/>
      <c r="DZ277" s="2297"/>
      <c r="EA277" s="2297"/>
      <c r="EB277" s="2297"/>
      <c r="EC277" s="2297"/>
      <c r="ED277" s="2297"/>
      <c r="EE277" s="2297"/>
      <c r="EF277" s="2297"/>
      <c r="EG277" s="2297"/>
      <c r="EH277" s="2297"/>
      <c r="EI277" s="2297"/>
      <c r="EJ277" s="2297"/>
      <c r="EK277" s="2297"/>
      <c r="EL277" s="2297"/>
      <c r="EM277" s="2297"/>
      <c r="EN277" s="2297"/>
      <c r="EO277" s="2297"/>
      <c r="EP277" s="2297"/>
      <c r="EQ277" s="2297"/>
      <c r="ER277" s="2297"/>
      <c r="ES277" s="2297"/>
      <c r="ET277" s="2297"/>
      <c r="EU277" s="2297"/>
      <c r="EV277" s="2297"/>
      <c r="EW277" s="2297"/>
      <c r="EX277" s="2297"/>
      <c r="EY277" s="2297"/>
      <c r="EZ277" s="2297"/>
      <c r="FA277" s="2297"/>
      <c r="FB277" s="2297"/>
      <c r="FC277" s="2297"/>
      <c r="FD277" s="2297"/>
      <c r="FE277" s="2297"/>
      <c r="FF277" s="2297"/>
      <c r="FG277" s="2297"/>
      <c r="FH277" s="2297"/>
      <c r="FI277" s="2297"/>
      <c r="FJ277" s="2297"/>
      <c r="FK277" s="2297"/>
      <c r="FL277" s="2297"/>
      <c r="FM277" s="2297"/>
      <c r="FN277" s="2297"/>
      <c r="FO277" s="2297"/>
      <c r="FP277" s="2297"/>
      <c r="FQ277" s="2297"/>
      <c r="FR277" s="2297"/>
      <c r="FS277" s="2297"/>
      <c r="FT277" s="2297"/>
      <c r="FU277" s="2297"/>
      <c r="FV277" s="2297"/>
      <c r="FW277" s="2297"/>
      <c r="FX277" s="2297"/>
      <c r="FY277" s="2297"/>
      <c r="FZ277" s="2297"/>
      <c r="GA277" s="2297"/>
      <c r="GB277" s="2297"/>
      <c r="GC277" s="2297"/>
      <c r="GD277" s="2297"/>
      <c r="GE277" s="2297"/>
      <c r="GF277" s="2297"/>
      <c r="GG277" s="2297"/>
      <c r="GH277" s="2297"/>
      <c r="GI277" s="2297"/>
      <c r="GJ277" s="2297"/>
      <c r="GK277" s="2297"/>
      <c r="GL277" s="2297"/>
      <c r="GM277" s="2297"/>
      <c r="GN277" s="2297"/>
      <c r="GO277" s="2297"/>
      <c r="GP277" s="2297"/>
      <c r="GQ277" s="2297"/>
      <c r="GR277" s="2297"/>
      <c r="GS277" s="2297"/>
      <c r="GT277" s="2297"/>
      <c r="GU277" s="2297"/>
      <c r="GV277" s="2297"/>
      <c r="GW277" s="2297"/>
      <c r="GX277" s="2297"/>
      <c r="GY277" s="2297"/>
      <c r="GZ277" s="2297"/>
      <c r="HA277" s="2297"/>
      <c r="HB277" s="2297"/>
      <c r="HC277" s="2297"/>
      <c r="HD277" s="2297"/>
      <c r="HE277" s="2297"/>
      <c r="HF277" s="2297"/>
      <c r="HG277" s="2297"/>
      <c r="HH277" s="2297"/>
      <c r="HI277" s="2297"/>
      <c r="HJ277" s="2297"/>
      <c r="HK277" s="2297"/>
      <c r="HL277" s="2297"/>
      <c r="HM277" s="2297"/>
      <c r="HN277" s="2297"/>
      <c r="HO277" s="2297"/>
      <c r="HP277" s="2297"/>
      <c r="HQ277" s="2297"/>
      <c r="HR277" s="2297"/>
      <c r="HS277" s="2297"/>
      <c r="HT277" s="2297"/>
      <c r="HU277" s="2297"/>
      <c r="HV277" s="2297"/>
      <c r="HW277" s="2297"/>
      <c r="HX277" s="2297"/>
      <c r="HY277" s="2297"/>
      <c r="HZ277" s="2297"/>
      <c r="IA277" s="2297"/>
      <c r="IB277" s="2297"/>
      <c r="IC277" s="2297"/>
      <c r="ID277" s="2297"/>
      <c r="IE277" s="2297"/>
      <c r="IF277" s="2297"/>
      <c r="IG277" s="2297"/>
      <c r="IH277" s="2297"/>
      <c r="II277" s="2297"/>
      <c r="IJ277" s="2297"/>
      <c r="IK277" s="2297"/>
      <c r="IL277" s="2297"/>
      <c r="IM277" s="2297"/>
      <c r="IN277" s="2297"/>
      <c r="IO277" s="2297"/>
      <c r="IP277" s="2297"/>
      <c r="IQ277" s="2297"/>
      <c r="IR277" s="2297"/>
      <c r="IS277" s="2297"/>
      <c r="IT277" s="2297"/>
      <c r="IU277" s="2297"/>
      <c r="IV277" s="2297"/>
    </row>
    <row r="278" spans="3:256">
      <c r="C278" s="2298"/>
      <c r="D278" s="2298"/>
      <c r="E278" s="2298"/>
      <c r="F278" s="2298"/>
      <c r="G278" s="2298"/>
      <c r="H278" s="2298"/>
      <c r="AC278" s="2297"/>
      <c r="AD278" s="2297"/>
      <c r="AE278" s="2297"/>
      <c r="AF278" s="2297"/>
      <c r="AG278" s="2297"/>
      <c r="AH278" s="2297"/>
      <c r="AI278" s="2297"/>
      <c r="AJ278" s="2297"/>
      <c r="AK278" s="2297"/>
      <c r="AL278" s="2297"/>
      <c r="AM278" s="2297"/>
      <c r="AN278" s="2297"/>
      <c r="AO278" s="2297"/>
      <c r="AP278" s="2297"/>
      <c r="AQ278" s="2297"/>
      <c r="AR278" s="2297"/>
      <c r="AS278" s="2297"/>
      <c r="AT278" s="2297"/>
      <c r="AU278" s="2297"/>
      <c r="AV278" s="2297"/>
      <c r="AW278" s="2297"/>
      <c r="AX278" s="2297"/>
      <c r="AY278" s="2297"/>
      <c r="AZ278" s="2297"/>
      <c r="BA278" s="2297"/>
      <c r="BB278" s="2297"/>
      <c r="BC278" s="2297"/>
      <c r="BD278" s="2297"/>
      <c r="BE278" s="2297"/>
      <c r="BF278" s="2297"/>
      <c r="BG278" s="2297"/>
      <c r="BH278" s="2297"/>
      <c r="BI278" s="2297"/>
      <c r="BJ278" s="2297"/>
      <c r="BK278" s="2297"/>
      <c r="BL278" s="2297"/>
      <c r="BM278" s="2297"/>
      <c r="BN278" s="2297"/>
      <c r="BO278" s="2297"/>
      <c r="BP278" s="2297"/>
      <c r="BQ278" s="2297"/>
      <c r="BR278" s="2297"/>
      <c r="BS278" s="2297"/>
      <c r="BT278" s="2297"/>
      <c r="BU278" s="2297"/>
      <c r="BV278" s="2297"/>
      <c r="BW278" s="2297"/>
      <c r="BX278" s="2297"/>
      <c r="BY278" s="2297"/>
      <c r="BZ278" s="2297"/>
      <c r="CA278" s="2297"/>
      <c r="CB278" s="2297"/>
      <c r="CC278" s="2297"/>
      <c r="CD278" s="2297"/>
      <c r="CE278" s="2297"/>
      <c r="CF278" s="2297"/>
      <c r="CG278" s="2297"/>
      <c r="CH278" s="2297"/>
      <c r="CI278" s="2297"/>
      <c r="CJ278" s="2297"/>
      <c r="CK278" s="2297"/>
      <c r="CL278" s="2297"/>
      <c r="CM278" s="2297"/>
      <c r="CN278" s="2297"/>
      <c r="CO278" s="2297"/>
      <c r="CP278" s="2297"/>
      <c r="CQ278" s="2297"/>
      <c r="CR278" s="2297"/>
      <c r="CS278" s="2297"/>
      <c r="CT278" s="2297"/>
      <c r="CU278" s="2297"/>
      <c r="CV278" s="2297"/>
      <c r="CW278" s="2297"/>
      <c r="CX278" s="2297"/>
      <c r="CY278" s="2297"/>
      <c r="CZ278" s="2297"/>
      <c r="DA278" s="2297"/>
      <c r="DB278" s="2297"/>
      <c r="DC278" s="2297"/>
      <c r="DD278" s="2297"/>
      <c r="DE278" s="2297"/>
      <c r="DF278" s="2297"/>
      <c r="DG278" s="2297"/>
      <c r="DH278" s="2297"/>
      <c r="DI278" s="2297"/>
      <c r="DJ278" s="2297"/>
      <c r="DK278" s="2297"/>
      <c r="DL278" s="2297"/>
      <c r="DM278" s="2297"/>
      <c r="DN278" s="2297"/>
      <c r="DO278" s="2297"/>
      <c r="DP278" s="2297"/>
      <c r="DQ278" s="2297"/>
      <c r="DR278" s="2297"/>
      <c r="DS278" s="2297"/>
      <c r="DT278" s="2297"/>
      <c r="DU278" s="2297"/>
      <c r="DV278" s="2297"/>
      <c r="DW278" s="2297"/>
      <c r="DX278" s="2297"/>
      <c r="DY278" s="2297"/>
      <c r="DZ278" s="2297"/>
      <c r="EA278" s="2297"/>
      <c r="EB278" s="2297"/>
      <c r="EC278" s="2297"/>
      <c r="ED278" s="2297"/>
      <c r="EE278" s="2297"/>
      <c r="EF278" s="2297"/>
      <c r="EG278" s="2297"/>
      <c r="EH278" s="2297"/>
      <c r="EI278" s="2297"/>
      <c r="EJ278" s="2297"/>
      <c r="EK278" s="2297"/>
      <c r="EL278" s="2297"/>
      <c r="EM278" s="2297"/>
      <c r="EN278" s="2297"/>
      <c r="EO278" s="2297"/>
      <c r="EP278" s="2297"/>
      <c r="EQ278" s="2297"/>
      <c r="ER278" s="2297"/>
      <c r="ES278" s="2297"/>
      <c r="ET278" s="2297"/>
      <c r="EU278" s="2297"/>
      <c r="EV278" s="2297"/>
      <c r="EW278" s="2297"/>
      <c r="EX278" s="2297"/>
      <c r="EY278" s="2297"/>
      <c r="EZ278" s="2297"/>
      <c r="FA278" s="2297"/>
      <c r="FB278" s="2297"/>
      <c r="FC278" s="2297"/>
      <c r="FD278" s="2297"/>
      <c r="FE278" s="2297"/>
      <c r="FF278" s="2297"/>
      <c r="FG278" s="2297"/>
      <c r="FH278" s="2297"/>
      <c r="FI278" s="2297"/>
      <c r="FJ278" s="2297"/>
      <c r="FK278" s="2297"/>
      <c r="FL278" s="2297"/>
      <c r="FM278" s="2297"/>
      <c r="FN278" s="2297"/>
      <c r="FO278" s="2297"/>
      <c r="FP278" s="2297"/>
      <c r="FQ278" s="2297"/>
      <c r="FR278" s="2297"/>
      <c r="FS278" s="2297"/>
      <c r="FT278" s="2297"/>
      <c r="FU278" s="2297"/>
      <c r="FV278" s="2297"/>
      <c r="FW278" s="2297"/>
      <c r="FX278" s="2297"/>
      <c r="FY278" s="2297"/>
      <c r="FZ278" s="2297"/>
      <c r="GA278" s="2297"/>
      <c r="GB278" s="2297"/>
      <c r="GC278" s="2297"/>
      <c r="GD278" s="2297"/>
      <c r="GE278" s="2297"/>
      <c r="GF278" s="2297"/>
      <c r="GG278" s="2297"/>
      <c r="GH278" s="2297"/>
      <c r="GI278" s="2297"/>
      <c r="GJ278" s="2297"/>
      <c r="GK278" s="2297"/>
      <c r="GL278" s="2297"/>
      <c r="GM278" s="2297"/>
      <c r="GN278" s="2297"/>
      <c r="GO278" s="2297"/>
      <c r="GP278" s="2297"/>
      <c r="GQ278" s="2297"/>
      <c r="GR278" s="2297"/>
      <c r="GS278" s="2297"/>
      <c r="GT278" s="2297"/>
      <c r="GU278" s="2297"/>
      <c r="GV278" s="2297"/>
      <c r="GW278" s="2297"/>
      <c r="GX278" s="2297"/>
      <c r="GY278" s="2297"/>
      <c r="GZ278" s="2297"/>
      <c r="HA278" s="2297"/>
      <c r="HB278" s="2297"/>
      <c r="HC278" s="2297"/>
      <c r="HD278" s="2297"/>
      <c r="HE278" s="2297"/>
      <c r="HF278" s="2297"/>
      <c r="HG278" s="2297"/>
      <c r="HH278" s="2297"/>
      <c r="HI278" s="2297"/>
      <c r="HJ278" s="2297"/>
      <c r="HK278" s="2297"/>
      <c r="HL278" s="2297"/>
      <c r="HM278" s="2297"/>
      <c r="HN278" s="2297"/>
      <c r="HO278" s="2297"/>
      <c r="HP278" s="2297"/>
      <c r="HQ278" s="2297"/>
      <c r="HR278" s="2297"/>
      <c r="HS278" s="2297"/>
      <c r="HT278" s="2297"/>
      <c r="HU278" s="2297"/>
      <c r="HV278" s="2297"/>
      <c r="HW278" s="2297"/>
      <c r="HX278" s="2297"/>
      <c r="HY278" s="2297"/>
      <c r="HZ278" s="2297"/>
      <c r="IA278" s="2297"/>
      <c r="IB278" s="2297"/>
      <c r="IC278" s="2297"/>
      <c r="ID278" s="2297"/>
      <c r="IE278" s="2297"/>
      <c r="IF278" s="2297"/>
      <c r="IG278" s="2297"/>
      <c r="IH278" s="2297"/>
      <c r="II278" s="2297"/>
      <c r="IJ278" s="2297"/>
      <c r="IK278" s="2297"/>
      <c r="IL278" s="2297"/>
      <c r="IM278" s="2297"/>
      <c r="IN278" s="2297"/>
      <c r="IO278" s="2297"/>
      <c r="IP278" s="2297"/>
      <c r="IQ278" s="2297"/>
      <c r="IR278" s="2297"/>
      <c r="IS278" s="2297"/>
      <c r="IT278" s="2297"/>
      <c r="IU278" s="2297"/>
      <c r="IV278" s="2297"/>
    </row>
    <row r="279" spans="3:256">
      <c r="C279" s="2298"/>
      <c r="D279" s="2298"/>
      <c r="E279" s="2298"/>
      <c r="F279" s="2298"/>
      <c r="G279" s="2298"/>
      <c r="H279" s="2298"/>
      <c r="AC279" s="2297"/>
      <c r="AD279" s="2297"/>
      <c r="AE279" s="2297"/>
      <c r="AF279" s="2297"/>
      <c r="AG279" s="2297"/>
      <c r="AH279" s="2297"/>
      <c r="AI279" s="2297"/>
      <c r="AJ279" s="2297"/>
      <c r="AK279" s="2297"/>
      <c r="AL279" s="2297"/>
      <c r="AM279" s="2297"/>
      <c r="AN279" s="2297"/>
      <c r="AO279" s="2297"/>
      <c r="AP279" s="2297"/>
      <c r="AQ279" s="2297"/>
      <c r="AR279" s="2297"/>
      <c r="AS279" s="2297"/>
      <c r="AT279" s="2297"/>
      <c r="AU279" s="2297"/>
      <c r="AV279" s="2297"/>
      <c r="AW279" s="2297"/>
      <c r="AX279" s="2297"/>
      <c r="AY279" s="2297"/>
      <c r="AZ279" s="2297"/>
      <c r="BA279" s="2297"/>
      <c r="BB279" s="2297"/>
      <c r="BC279" s="2297"/>
      <c r="BD279" s="2297"/>
      <c r="BE279" s="2297"/>
      <c r="BF279" s="2297"/>
      <c r="BG279" s="2297"/>
      <c r="BH279" s="2297"/>
      <c r="BI279" s="2297"/>
      <c r="BJ279" s="2297"/>
      <c r="BK279" s="2297"/>
      <c r="BL279" s="2297"/>
      <c r="BM279" s="2297"/>
      <c r="BN279" s="2297"/>
      <c r="BO279" s="2297"/>
      <c r="BP279" s="2297"/>
      <c r="BQ279" s="2297"/>
      <c r="BR279" s="2297"/>
      <c r="BS279" s="2297"/>
      <c r="BT279" s="2297"/>
      <c r="BU279" s="2297"/>
      <c r="BV279" s="2297"/>
      <c r="BW279" s="2297"/>
      <c r="BX279" s="2297"/>
      <c r="BY279" s="2297"/>
      <c r="BZ279" s="2297"/>
      <c r="CA279" s="2297"/>
      <c r="CB279" s="2297"/>
      <c r="CC279" s="2297"/>
      <c r="CD279" s="2297"/>
      <c r="CE279" s="2297"/>
      <c r="CF279" s="2297"/>
      <c r="CG279" s="2297"/>
      <c r="CH279" s="2297"/>
      <c r="CI279" s="2297"/>
      <c r="CJ279" s="2297"/>
      <c r="CK279" s="2297"/>
      <c r="CL279" s="2297"/>
      <c r="CM279" s="2297"/>
      <c r="CN279" s="2297"/>
      <c r="CO279" s="2297"/>
      <c r="CP279" s="2297"/>
      <c r="CQ279" s="2297"/>
      <c r="CR279" s="2297"/>
      <c r="CS279" s="2297"/>
      <c r="CT279" s="2297"/>
      <c r="CU279" s="2297"/>
      <c r="CV279" s="2297"/>
      <c r="CW279" s="2297"/>
      <c r="CX279" s="2297"/>
      <c r="CY279" s="2297"/>
      <c r="CZ279" s="2297"/>
      <c r="DA279" s="2297"/>
      <c r="DB279" s="2297"/>
      <c r="DC279" s="2297"/>
      <c r="DD279" s="2297"/>
      <c r="DE279" s="2297"/>
      <c r="DF279" s="2297"/>
      <c r="DG279" s="2297"/>
      <c r="DH279" s="2297"/>
      <c r="DI279" s="2297"/>
      <c r="DJ279" s="2297"/>
      <c r="DK279" s="2297"/>
      <c r="DL279" s="2297"/>
      <c r="DM279" s="2297"/>
      <c r="DN279" s="2297"/>
      <c r="DO279" s="2297"/>
      <c r="DP279" s="2297"/>
      <c r="DQ279" s="2297"/>
      <c r="DR279" s="2297"/>
      <c r="DS279" s="2297"/>
      <c r="DT279" s="2297"/>
      <c r="DU279" s="2297"/>
      <c r="DV279" s="2297"/>
      <c r="DW279" s="2297"/>
      <c r="DX279" s="2297"/>
      <c r="DY279" s="2297"/>
      <c r="DZ279" s="2297"/>
      <c r="EA279" s="2297"/>
      <c r="EB279" s="2297"/>
      <c r="EC279" s="2297"/>
      <c r="ED279" s="2297"/>
      <c r="EE279" s="2297"/>
      <c r="EF279" s="2297"/>
      <c r="EG279" s="2297"/>
      <c r="EH279" s="2297"/>
      <c r="EI279" s="2297"/>
      <c r="EJ279" s="2297"/>
      <c r="EK279" s="2297"/>
      <c r="EL279" s="2297"/>
      <c r="EM279" s="2297"/>
      <c r="EN279" s="2297"/>
      <c r="EO279" s="2297"/>
      <c r="EP279" s="2297"/>
      <c r="EQ279" s="2297"/>
      <c r="ER279" s="2297"/>
      <c r="ES279" s="2297"/>
      <c r="ET279" s="2297"/>
      <c r="EU279" s="2297"/>
      <c r="EV279" s="2297"/>
      <c r="EW279" s="2297"/>
      <c r="EX279" s="2297"/>
      <c r="EY279" s="2297"/>
      <c r="EZ279" s="2297"/>
      <c r="FA279" s="2297"/>
      <c r="FB279" s="2297"/>
      <c r="FC279" s="2297"/>
      <c r="FD279" s="2297"/>
      <c r="FE279" s="2297"/>
      <c r="FF279" s="2297"/>
      <c r="FG279" s="2297"/>
      <c r="FH279" s="2297"/>
      <c r="FI279" s="2297"/>
      <c r="FJ279" s="2297"/>
      <c r="FK279" s="2297"/>
      <c r="FL279" s="2297"/>
      <c r="FM279" s="2297"/>
      <c r="FN279" s="2297"/>
      <c r="FO279" s="2297"/>
      <c r="FP279" s="2297"/>
      <c r="FQ279" s="2297"/>
      <c r="FR279" s="2297"/>
      <c r="FS279" s="2297"/>
      <c r="FT279" s="2297"/>
      <c r="FU279" s="2297"/>
      <c r="FV279" s="2297"/>
      <c r="FW279" s="2297"/>
      <c r="FX279" s="2297"/>
      <c r="FY279" s="2297"/>
      <c r="FZ279" s="2297"/>
      <c r="GA279" s="2297"/>
      <c r="GB279" s="2297"/>
      <c r="GC279" s="2297"/>
      <c r="GD279" s="2297"/>
      <c r="GE279" s="2297"/>
      <c r="GF279" s="2297"/>
      <c r="GG279" s="2297"/>
      <c r="GH279" s="2297"/>
      <c r="GI279" s="2297"/>
      <c r="GJ279" s="2297"/>
      <c r="GK279" s="2297"/>
      <c r="GL279" s="2297"/>
      <c r="GM279" s="2297"/>
      <c r="GN279" s="2297"/>
      <c r="GO279" s="2297"/>
      <c r="GP279" s="2297"/>
      <c r="GQ279" s="2297"/>
      <c r="GR279" s="2297"/>
      <c r="GS279" s="2297"/>
      <c r="GT279" s="2297"/>
      <c r="GU279" s="2297"/>
      <c r="GV279" s="2297"/>
      <c r="GW279" s="2297"/>
      <c r="GX279" s="2297"/>
      <c r="GY279" s="2297"/>
      <c r="GZ279" s="2297"/>
      <c r="HA279" s="2297"/>
      <c r="HB279" s="2297"/>
      <c r="HC279" s="2297"/>
      <c r="HD279" s="2297"/>
      <c r="HE279" s="2297"/>
      <c r="HF279" s="2297"/>
      <c r="HG279" s="2297"/>
      <c r="HH279" s="2297"/>
      <c r="HI279" s="2297"/>
      <c r="HJ279" s="2297"/>
      <c r="HK279" s="2297"/>
      <c r="HL279" s="2297"/>
      <c r="HM279" s="2297"/>
      <c r="HN279" s="2297"/>
      <c r="HO279" s="2297"/>
      <c r="HP279" s="2297"/>
      <c r="HQ279" s="2297"/>
      <c r="HR279" s="2297"/>
      <c r="HS279" s="2297"/>
      <c r="HT279" s="2297"/>
      <c r="HU279" s="2297"/>
      <c r="HV279" s="2297"/>
      <c r="HW279" s="2297"/>
      <c r="HX279" s="2297"/>
      <c r="HY279" s="2297"/>
      <c r="HZ279" s="2297"/>
      <c r="IA279" s="2297"/>
      <c r="IB279" s="2297"/>
      <c r="IC279" s="2297"/>
      <c r="ID279" s="2297"/>
      <c r="IE279" s="2297"/>
      <c r="IF279" s="2297"/>
      <c r="IG279" s="2297"/>
      <c r="IH279" s="2297"/>
      <c r="II279" s="2297"/>
      <c r="IJ279" s="2297"/>
      <c r="IK279" s="2297"/>
      <c r="IL279" s="2297"/>
      <c r="IM279" s="2297"/>
      <c r="IN279" s="2297"/>
      <c r="IO279" s="2297"/>
      <c r="IP279" s="2297"/>
      <c r="IQ279" s="2297"/>
      <c r="IR279" s="2297"/>
      <c r="IS279" s="2297"/>
      <c r="IT279" s="2297"/>
      <c r="IU279" s="2297"/>
      <c r="IV279" s="2297"/>
    </row>
    <row r="280" spans="3:256">
      <c r="C280" s="2298"/>
      <c r="D280" s="2298"/>
      <c r="E280" s="2298"/>
      <c r="F280" s="2298"/>
      <c r="G280" s="2298"/>
      <c r="H280" s="2298"/>
      <c r="AC280" s="2297"/>
      <c r="AD280" s="2297"/>
      <c r="AE280" s="2297"/>
      <c r="AF280" s="2297"/>
      <c r="AG280" s="2297"/>
      <c r="AH280" s="2297"/>
      <c r="AI280" s="2297"/>
      <c r="AJ280" s="2297"/>
      <c r="AK280" s="2297"/>
      <c r="AL280" s="2297"/>
      <c r="AM280" s="2297"/>
      <c r="AN280" s="2297"/>
      <c r="AO280" s="2297"/>
      <c r="AP280" s="2297"/>
      <c r="AQ280" s="2297"/>
      <c r="AR280" s="2297"/>
      <c r="AS280" s="2297"/>
      <c r="AT280" s="2297"/>
      <c r="AU280" s="2297"/>
      <c r="AV280" s="2297"/>
      <c r="AW280" s="2297"/>
      <c r="AX280" s="2297"/>
      <c r="AY280" s="2297"/>
      <c r="AZ280" s="2297"/>
      <c r="BA280" s="2297"/>
      <c r="BB280" s="2297"/>
      <c r="BC280" s="2297"/>
      <c r="BD280" s="2297"/>
      <c r="BE280" s="2297"/>
      <c r="BF280" s="2297"/>
      <c r="BG280" s="2297"/>
      <c r="BH280" s="2297"/>
      <c r="BI280" s="2297"/>
      <c r="BJ280" s="2297"/>
      <c r="BK280" s="2297"/>
      <c r="BL280" s="2297"/>
      <c r="BM280" s="2297"/>
      <c r="BN280" s="2297"/>
      <c r="BO280" s="2297"/>
      <c r="BP280" s="2297"/>
      <c r="BQ280" s="2297"/>
      <c r="BR280" s="2297"/>
      <c r="BS280" s="2297"/>
      <c r="BT280" s="2297"/>
      <c r="BU280" s="2297"/>
      <c r="BV280" s="2297"/>
      <c r="BW280" s="2297"/>
      <c r="BX280" s="2297"/>
      <c r="BY280" s="2297"/>
      <c r="BZ280" s="2297"/>
      <c r="CA280" s="2297"/>
      <c r="CB280" s="2297"/>
      <c r="CC280" s="2297"/>
      <c r="CD280" s="2297"/>
      <c r="CE280" s="2297"/>
      <c r="CF280" s="2297"/>
      <c r="CG280" s="2297"/>
      <c r="CH280" s="2297"/>
      <c r="CI280" s="2297"/>
      <c r="CJ280" s="2297"/>
      <c r="CK280" s="2297"/>
      <c r="CL280" s="2297"/>
      <c r="CM280" s="2297"/>
      <c r="CN280" s="2297"/>
      <c r="CO280" s="2297"/>
      <c r="CP280" s="2297"/>
      <c r="CQ280" s="2297"/>
      <c r="CR280" s="2297"/>
      <c r="CS280" s="2297"/>
      <c r="CT280" s="2297"/>
      <c r="CU280" s="2297"/>
      <c r="CV280" s="2297"/>
      <c r="CW280" s="2297"/>
      <c r="CX280" s="2297"/>
      <c r="CY280" s="2297"/>
      <c r="CZ280" s="2297"/>
      <c r="DA280" s="2297"/>
      <c r="DB280" s="2297"/>
      <c r="DC280" s="2297"/>
      <c r="DD280" s="2297"/>
      <c r="DE280" s="2297"/>
      <c r="DF280" s="2297"/>
      <c r="DG280" s="2297"/>
      <c r="DH280" s="2297"/>
      <c r="DI280" s="2297"/>
      <c r="DJ280" s="2297"/>
      <c r="DK280" s="2297"/>
      <c r="DL280" s="2297"/>
      <c r="DM280" s="2297"/>
      <c r="DN280" s="2297"/>
      <c r="DO280" s="2297"/>
      <c r="DP280" s="2297"/>
      <c r="DQ280" s="2297"/>
      <c r="DR280" s="2297"/>
      <c r="DS280" s="2297"/>
      <c r="DT280" s="2297"/>
      <c r="DU280" s="2297"/>
      <c r="DV280" s="2297"/>
      <c r="DW280" s="2297"/>
      <c r="DX280" s="2297"/>
      <c r="DY280" s="2297"/>
      <c r="DZ280" s="2297"/>
      <c r="EA280" s="2297"/>
      <c r="EB280" s="2297"/>
      <c r="EC280" s="2297"/>
      <c r="ED280" s="2297"/>
      <c r="EE280" s="2297"/>
      <c r="EF280" s="2297"/>
      <c r="EG280" s="2297"/>
      <c r="EH280" s="2297"/>
      <c r="EI280" s="2297"/>
      <c r="EJ280" s="2297"/>
      <c r="EK280" s="2297"/>
      <c r="EL280" s="2297"/>
      <c r="EM280" s="2297"/>
      <c r="EN280" s="2297"/>
      <c r="EO280" s="2297"/>
      <c r="EP280" s="2297"/>
      <c r="EQ280" s="2297"/>
      <c r="ER280" s="2297"/>
      <c r="ES280" s="2297"/>
      <c r="ET280" s="2297"/>
      <c r="EU280" s="2297"/>
      <c r="EV280" s="2297"/>
      <c r="EW280" s="2297"/>
      <c r="EX280" s="2297"/>
      <c r="EY280" s="2297"/>
      <c r="EZ280" s="2297"/>
      <c r="FA280" s="2297"/>
      <c r="FB280" s="2297"/>
      <c r="FC280" s="2297"/>
      <c r="FD280" s="2297"/>
      <c r="FE280" s="2297"/>
      <c r="FF280" s="2297"/>
      <c r="FG280" s="2297"/>
      <c r="FH280" s="2297"/>
      <c r="FI280" s="2297"/>
      <c r="FJ280" s="2297"/>
      <c r="FK280" s="2297"/>
      <c r="FL280" s="2297"/>
      <c r="FM280" s="2297"/>
      <c r="FN280" s="2297"/>
      <c r="FO280" s="2297"/>
      <c r="FP280" s="2297"/>
      <c r="FQ280" s="2297"/>
      <c r="FR280" s="2297"/>
      <c r="FS280" s="2297"/>
      <c r="FT280" s="2297"/>
      <c r="FU280" s="2297"/>
      <c r="FV280" s="2297"/>
      <c r="FW280" s="2297"/>
      <c r="FX280" s="2297"/>
      <c r="FY280" s="2297"/>
      <c r="FZ280" s="2297"/>
      <c r="GA280" s="2297"/>
      <c r="GB280" s="2297"/>
      <c r="GC280" s="2297"/>
      <c r="GD280" s="2297"/>
      <c r="GE280" s="2297"/>
      <c r="GF280" s="2297"/>
      <c r="GG280" s="2297"/>
      <c r="GH280" s="2297"/>
      <c r="GI280" s="2297"/>
      <c r="GJ280" s="2297"/>
      <c r="GK280" s="2297"/>
      <c r="GL280" s="2297"/>
      <c r="GM280" s="2297"/>
      <c r="GN280" s="2297"/>
      <c r="GO280" s="2297"/>
      <c r="GP280" s="2297"/>
      <c r="GQ280" s="2297"/>
      <c r="GR280" s="2297"/>
      <c r="GS280" s="2297"/>
      <c r="GT280" s="2297"/>
      <c r="GU280" s="2297"/>
      <c r="GV280" s="2297"/>
      <c r="GW280" s="2297"/>
      <c r="GX280" s="2297"/>
      <c r="GY280" s="2297"/>
      <c r="GZ280" s="2297"/>
      <c r="HA280" s="2297"/>
      <c r="HB280" s="2297"/>
      <c r="HC280" s="2297"/>
      <c r="HD280" s="2297"/>
      <c r="HE280" s="2297"/>
      <c r="HF280" s="2297"/>
      <c r="HG280" s="2297"/>
      <c r="HH280" s="2297"/>
      <c r="HI280" s="2297"/>
      <c r="HJ280" s="2297"/>
      <c r="HK280" s="2297"/>
      <c r="HL280" s="2297"/>
      <c r="HM280" s="2297"/>
      <c r="HN280" s="2297"/>
      <c r="HO280" s="2297"/>
      <c r="HP280" s="2297"/>
      <c r="HQ280" s="2297"/>
      <c r="HR280" s="2297"/>
      <c r="HS280" s="2297"/>
      <c r="HT280" s="2297"/>
      <c r="HU280" s="2297"/>
      <c r="HV280" s="2297"/>
      <c r="HW280" s="2297"/>
      <c r="HX280" s="2297"/>
      <c r="HY280" s="2297"/>
      <c r="HZ280" s="2297"/>
      <c r="IA280" s="2297"/>
      <c r="IB280" s="2297"/>
      <c r="IC280" s="2297"/>
      <c r="ID280" s="2297"/>
      <c r="IE280" s="2297"/>
      <c r="IF280" s="2297"/>
      <c r="IG280" s="2297"/>
      <c r="IH280" s="2297"/>
      <c r="II280" s="2297"/>
      <c r="IJ280" s="2297"/>
      <c r="IK280" s="2297"/>
      <c r="IL280" s="2297"/>
      <c r="IM280" s="2297"/>
      <c r="IN280" s="2297"/>
      <c r="IO280" s="2297"/>
      <c r="IP280" s="2297"/>
      <c r="IQ280" s="2297"/>
      <c r="IR280" s="2297"/>
      <c r="IS280" s="2297"/>
      <c r="IT280" s="2297"/>
      <c r="IU280" s="2297"/>
      <c r="IV280" s="2297"/>
    </row>
    <row r="281" spans="3:256">
      <c r="C281" s="2298"/>
      <c r="D281" s="2298"/>
      <c r="E281" s="2298"/>
      <c r="F281" s="2298"/>
      <c r="G281" s="2298"/>
      <c r="H281" s="2298"/>
      <c r="AC281" s="2297"/>
      <c r="AD281" s="2297"/>
      <c r="AE281" s="2297"/>
      <c r="AF281" s="2297"/>
      <c r="AG281" s="2297"/>
      <c r="AH281" s="2297"/>
      <c r="AI281" s="2297"/>
      <c r="AJ281" s="2297"/>
      <c r="AK281" s="2297"/>
      <c r="AL281" s="2297"/>
      <c r="AM281" s="2297"/>
      <c r="AN281" s="2297"/>
      <c r="AO281" s="2297"/>
      <c r="AP281" s="2297"/>
      <c r="AQ281" s="2297"/>
      <c r="AR281" s="2297"/>
      <c r="AS281" s="2297"/>
      <c r="AT281" s="2297"/>
      <c r="AU281" s="2297"/>
      <c r="AV281" s="2297"/>
      <c r="AW281" s="2297"/>
      <c r="AX281" s="2297"/>
      <c r="AY281" s="2297"/>
      <c r="AZ281" s="2297"/>
      <c r="BA281" s="2297"/>
      <c r="BB281" s="2297"/>
      <c r="BC281" s="2297"/>
      <c r="BD281" s="2297"/>
      <c r="BE281" s="2297"/>
      <c r="BF281" s="2297"/>
      <c r="BG281" s="2297"/>
      <c r="BH281" s="2297"/>
      <c r="BI281" s="2297"/>
      <c r="BJ281" s="2297"/>
      <c r="BK281" s="2297"/>
      <c r="BL281" s="2297"/>
      <c r="BM281" s="2297"/>
      <c r="BN281" s="2297"/>
      <c r="BO281" s="2297"/>
      <c r="BP281" s="2297"/>
      <c r="BQ281" s="2297"/>
      <c r="BR281" s="2297"/>
      <c r="BS281" s="2297"/>
      <c r="BT281" s="2297"/>
      <c r="BU281" s="2297"/>
      <c r="BV281" s="2297"/>
      <c r="BW281" s="2297"/>
      <c r="BX281" s="2297"/>
      <c r="BY281" s="2297"/>
      <c r="BZ281" s="2297"/>
      <c r="CA281" s="2297"/>
      <c r="CB281" s="2297"/>
      <c r="CC281" s="2297"/>
      <c r="CD281" s="2297"/>
      <c r="CE281" s="2297"/>
      <c r="CF281" s="2297"/>
      <c r="CG281" s="2297"/>
      <c r="CH281" s="2297"/>
      <c r="CI281" s="2297"/>
      <c r="CJ281" s="2297"/>
      <c r="CK281" s="2297"/>
      <c r="CL281" s="2297"/>
      <c r="CM281" s="2297"/>
      <c r="CN281" s="2297"/>
      <c r="CO281" s="2297"/>
      <c r="CP281" s="2297"/>
      <c r="CQ281" s="2297"/>
      <c r="CR281" s="2297"/>
      <c r="CS281" s="2297"/>
      <c r="CT281" s="2297"/>
      <c r="CU281" s="2297"/>
      <c r="CV281" s="2297"/>
      <c r="CW281" s="2297"/>
      <c r="CX281" s="2297"/>
      <c r="CY281" s="2297"/>
      <c r="CZ281" s="2297"/>
      <c r="DA281" s="2297"/>
      <c r="DB281" s="2297"/>
      <c r="DC281" s="2297"/>
      <c r="DD281" s="2297"/>
      <c r="DE281" s="2297"/>
      <c r="DF281" s="2297"/>
      <c r="DG281" s="2297"/>
      <c r="DH281" s="2297"/>
      <c r="DI281" s="2297"/>
      <c r="DJ281" s="2297"/>
      <c r="DK281" s="2297"/>
      <c r="DL281" s="2297"/>
      <c r="DM281" s="2297"/>
      <c r="DN281" s="2297"/>
      <c r="DO281" s="2297"/>
      <c r="DP281" s="2297"/>
      <c r="DQ281" s="2297"/>
      <c r="DR281" s="2297"/>
      <c r="DS281" s="2297"/>
      <c r="DT281" s="2297"/>
      <c r="DU281" s="2297"/>
      <c r="DV281" s="2297"/>
      <c r="DW281" s="2297"/>
      <c r="DX281" s="2297"/>
      <c r="DY281" s="2297"/>
      <c r="DZ281" s="2297"/>
      <c r="EA281" s="2297"/>
      <c r="EB281" s="2297"/>
      <c r="EC281" s="2297"/>
      <c r="ED281" s="2297"/>
      <c r="EE281" s="2297"/>
      <c r="EF281" s="2297"/>
      <c r="EG281" s="2297"/>
      <c r="EH281" s="2297"/>
      <c r="EI281" s="2297"/>
      <c r="EJ281" s="2297"/>
      <c r="EK281" s="2297"/>
      <c r="EL281" s="2297"/>
      <c r="EM281" s="2297"/>
      <c r="EN281" s="2297"/>
      <c r="EO281" s="2297"/>
      <c r="EP281" s="2297"/>
      <c r="EQ281" s="2297"/>
      <c r="ER281" s="2297"/>
      <c r="ES281" s="2297"/>
      <c r="ET281" s="2297"/>
      <c r="EU281" s="2297"/>
      <c r="EV281" s="2297"/>
      <c r="EW281" s="2297"/>
      <c r="EX281" s="2297"/>
      <c r="EY281" s="2297"/>
      <c r="EZ281" s="2297"/>
      <c r="FA281" s="2297"/>
      <c r="FB281" s="2297"/>
      <c r="FC281" s="2297"/>
      <c r="FD281" s="2297"/>
      <c r="FE281" s="2297"/>
      <c r="FF281" s="2297"/>
      <c r="FG281" s="2297"/>
      <c r="FH281" s="2297"/>
      <c r="FI281" s="2297"/>
      <c r="FJ281" s="2297"/>
      <c r="FK281" s="2297"/>
      <c r="FL281" s="2297"/>
      <c r="FM281" s="2297"/>
      <c r="FN281" s="2297"/>
      <c r="FO281" s="2297"/>
      <c r="FP281" s="2297"/>
      <c r="FQ281" s="2297"/>
      <c r="FR281" s="2297"/>
      <c r="FS281" s="2297"/>
      <c r="FT281" s="2297"/>
      <c r="FU281" s="2297"/>
      <c r="FV281" s="2297"/>
      <c r="FW281" s="2297"/>
      <c r="FX281" s="2297"/>
      <c r="FY281" s="2297"/>
      <c r="FZ281" s="2297"/>
      <c r="GA281" s="2297"/>
      <c r="GB281" s="2297"/>
      <c r="GC281" s="2297"/>
      <c r="GD281" s="2297"/>
      <c r="GE281" s="2297"/>
      <c r="GF281" s="2297"/>
      <c r="GG281" s="2297"/>
      <c r="GH281" s="2297"/>
      <c r="GI281" s="2297"/>
      <c r="GJ281" s="2297"/>
      <c r="GK281" s="2297"/>
      <c r="GL281" s="2297"/>
      <c r="GM281" s="2297"/>
      <c r="GN281" s="2297"/>
      <c r="GO281" s="2297"/>
      <c r="GP281" s="2297"/>
      <c r="GQ281" s="2297"/>
      <c r="GR281" s="2297"/>
      <c r="GS281" s="2297"/>
      <c r="GT281" s="2297"/>
      <c r="GU281" s="2297"/>
      <c r="GV281" s="2297"/>
      <c r="GW281" s="2297"/>
      <c r="GX281" s="2297"/>
      <c r="GY281" s="2297"/>
      <c r="GZ281" s="2297"/>
      <c r="HA281" s="2297"/>
      <c r="HB281" s="2297"/>
      <c r="HC281" s="2297"/>
      <c r="HD281" s="2297"/>
      <c r="HE281" s="2297"/>
      <c r="HF281" s="2297"/>
      <c r="HG281" s="2297"/>
      <c r="HH281" s="2297"/>
      <c r="HI281" s="2297"/>
      <c r="HJ281" s="2297"/>
      <c r="HK281" s="2297"/>
      <c r="HL281" s="2297"/>
      <c r="HM281" s="2297"/>
      <c r="HN281" s="2297"/>
      <c r="HO281" s="2297"/>
      <c r="HP281" s="2297"/>
      <c r="HQ281" s="2297"/>
      <c r="HR281" s="2297"/>
      <c r="HS281" s="2297"/>
      <c r="HT281" s="2297"/>
      <c r="HU281" s="2297"/>
      <c r="HV281" s="2297"/>
      <c r="HW281" s="2297"/>
      <c r="HX281" s="2297"/>
      <c r="HY281" s="2297"/>
      <c r="HZ281" s="2297"/>
      <c r="IA281" s="2297"/>
      <c r="IB281" s="2297"/>
      <c r="IC281" s="2297"/>
      <c r="ID281" s="2297"/>
      <c r="IE281" s="2297"/>
      <c r="IF281" s="2297"/>
      <c r="IG281" s="2297"/>
      <c r="IH281" s="2297"/>
      <c r="II281" s="2297"/>
      <c r="IJ281" s="2297"/>
      <c r="IK281" s="2297"/>
      <c r="IL281" s="2297"/>
      <c r="IM281" s="2297"/>
      <c r="IN281" s="2297"/>
      <c r="IO281" s="2297"/>
      <c r="IP281" s="2297"/>
      <c r="IQ281" s="2297"/>
      <c r="IR281" s="2297"/>
      <c r="IS281" s="2297"/>
      <c r="IT281" s="2297"/>
      <c r="IU281" s="2297"/>
      <c r="IV281" s="2297"/>
    </row>
    <row r="282" spans="3:256">
      <c r="C282" s="2298"/>
      <c r="D282" s="2298"/>
      <c r="E282" s="2298"/>
      <c r="F282" s="2298"/>
      <c r="G282" s="2298"/>
      <c r="H282" s="2298"/>
      <c r="AC282" s="2297"/>
      <c r="AD282" s="2297"/>
      <c r="AE282" s="2297"/>
      <c r="AF282" s="2297"/>
      <c r="AG282" s="2297"/>
      <c r="AH282" s="2297"/>
      <c r="AI282" s="2297"/>
      <c r="AJ282" s="2297"/>
      <c r="AK282" s="2297"/>
      <c r="AL282" s="2297"/>
      <c r="AM282" s="2297"/>
      <c r="AN282" s="2297"/>
      <c r="AO282" s="2297"/>
      <c r="AP282" s="2297"/>
      <c r="AQ282" s="2297"/>
      <c r="AR282" s="2297"/>
      <c r="AS282" s="2297"/>
      <c r="AT282" s="2297"/>
      <c r="AU282" s="2297"/>
      <c r="AV282" s="2297"/>
      <c r="AW282" s="2297"/>
      <c r="AX282" s="2297"/>
      <c r="AY282" s="2297"/>
      <c r="AZ282" s="2297"/>
      <c r="BA282" s="2297"/>
      <c r="BB282" s="2297"/>
      <c r="BC282" s="2297"/>
      <c r="BD282" s="2297"/>
      <c r="BE282" s="2297"/>
      <c r="BF282" s="2297"/>
      <c r="BG282" s="2297"/>
      <c r="BH282" s="2297"/>
      <c r="BI282" s="2297"/>
      <c r="BJ282" s="2297"/>
      <c r="BK282" s="2297"/>
      <c r="BL282" s="2297"/>
      <c r="BM282" s="2297"/>
      <c r="BN282" s="2297"/>
      <c r="BO282" s="2297"/>
      <c r="BP282" s="2297"/>
      <c r="BQ282" s="2297"/>
      <c r="BR282" s="2297"/>
      <c r="BS282" s="2297"/>
      <c r="BT282" s="2297"/>
      <c r="BU282" s="2297"/>
      <c r="BV282" s="2297"/>
      <c r="BW282" s="2297"/>
      <c r="BX282" s="2297"/>
      <c r="BY282" s="2297"/>
      <c r="BZ282" s="2297"/>
      <c r="CA282" s="2297"/>
      <c r="CB282" s="2297"/>
      <c r="CC282" s="2297"/>
      <c r="CD282" s="2297"/>
      <c r="CE282" s="2297"/>
      <c r="CF282" s="2297"/>
      <c r="CG282" s="2297"/>
      <c r="CH282" s="2297"/>
      <c r="CI282" s="2297"/>
      <c r="CJ282" s="2297"/>
      <c r="CK282" s="2297"/>
      <c r="CL282" s="2297"/>
      <c r="CM282" s="2297"/>
      <c r="CN282" s="2297"/>
      <c r="CO282" s="2297"/>
      <c r="CP282" s="2297"/>
      <c r="CQ282" s="2297"/>
      <c r="CR282" s="2297"/>
      <c r="CS282" s="2297"/>
      <c r="CT282" s="2297"/>
      <c r="CU282" s="2297"/>
      <c r="CV282" s="2297"/>
      <c r="CW282" s="2297"/>
      <c r="CX282" s="2297"/>
      <c r="CY282" s="2297"/>
      <c r="CZ282" s="2297"/>
      <c r="DA282" s="2297"/>
      <c r="DB282" s="2297"/>
      <c r="DC282" s="2297"/>
      <c r="DD282" s="2297"/>
      <c r="DE282" s="2297"/>
      <c r="DF282" s="2297"/>
      <c r="DG282" s="2297"/>
      <c r="DH282" s="2297"/>
      <c r="DI282" s="2297"/>
      <c r="DJ282" s="2297"/>
      <c r="DK282" s="2297"/>
      <c r="DL282" s="2297"/>
      <c r="DM282" s="2297"/>
      <c r="DN282" s="2297"/>
      <c r="DO282" s="2297"/>
      <c r="DP282" s="2297"/>
      <c r="DQ282" s="2297"/>
      <c r="DR282" s="2297"/>
      <c r="DS282" s="2297"/>
      <c r="DT282" s="2297"/>
      <c r="DU282" s="2297"/>
      <c r="DV282" s="2297"/>
      <c r="DW282" s="2297"/>
      <c r="DX282" s="2297"/>
      <c r="DY282" s="2297"/>
      <c r="DZ282" s="2297"/>
      <c r="EA282" s="2297"/>
      <c r="EB282" s="2297"/>
      <c r="EC282" s="2297"/>
      <c r="ED282" s="2297"/>
      <c r="EE282" s="2297"/>
      <c r="EF282" s="2297"/>
      <c r="EG282" s="2297"/>
      <c r="EH282" s="2297"/>
      <c r="EI282" s="2297"/>
      <c r="EJ282" s="2297"/>
      <c r="EK282" s="2297"/>
      <c r="EL282" s="2297"/>
      <c r="EM282" s="2297"/>
      <c r="EN282" s="2297"/>
      <c r="EO282" s="2297"/>
      <c r="EP282" s="2297"/>
      <c r="EQ282" s="2297"/>
      <c r="ER282" s="2297"/>
      <c r="ES282" s="2297"/>
      <c r="ET282" s="2297"/>
      <c r="EU282" s="2297"/>
      <c r="EV282" s="2297"/>
      <c r="EW282" s="2297"/>
      <c r="EX282" s="2297"/>
      <c r="EY282" s="2297"/>
      <c r="EZ282" s="2297"/>
      <c r="FA282" s="2297"/>
      <c r="FB282" s="2297"/>
      <c r="FC282" s="2297"/>
      <c r="FD282" s="2297"/>
      <c r="FE282" s="2297"/>
      <c r="FF282" s="2297"/>
      <c r="FG282" s="2297"/>
      <c r="FH282" s="2297"/>
      <c r="FI282" s="2297"/>
      <c r="FJ282" s="2297"/>
      <c r="FK282" s="2297"/>
      <c r="FL282" s="2297"/>
      <c r="FM282" s="2297"/>
      <c r="FN282" s="2297"/>
      <c r="FO282" s="2297"/>
      <c r="FP282" s="2297"/>
      <c r="FQ282" s="2297"/>
      <c r="FR282" s="2297"/>
      <c r="FS282" s="2297"/>
      <c r="FT282" s="2297"/>
      <c r="FU282" s="2297"/>
      <c r="FV282" s="2297"/>
      <c r="FW282" s="2297"/>
      <c r="FX282" s="2297"/>
      <c r="FY282" s="2297"/>
      <c r="FZ282" s="2297"/>
      <c r="GA282" s="2297"/>
      <c r="GB282" s="2297"/>
      <c r="GC282" s="2297"/>
      <c r="GD282" s="2297"/>
      <c r="GE282" s="2297"/>
      <c r="GF282" s="2297"/>
      <c r="GG282" s="2297"/>
      <c r="GH282" s="2297"/>
      <c r="GI282" s="2297"/>
      <c r="GJ282" s="2297"/>
      <c r="GK282" s="2297"/>
      <c r="GL282" s="2297"/>
      <c r="GM282" s="2297"/>
      <c r="GN282" s="2297"/>
      <c r="GO282" s="2297"/>
      <c r="GP282" s="2297"/>
      <c r="GQ282" s="2297"/>
      <c r="GR282" s="2297"/>
      <c r="GS282" s="2297"/>
      <c r="GT282" s="2297"/>
      <c r="GU282" s="2297"/>
      <c r="GV282" s="2297"/>
      <c r="GW282" s="2297"/>
      <c r="GX282" s="2297"/>
      <c r="GY282" s="2297"/>
      <c r="GZ282" s="2297"/>
      <c r="HA282" s="2297"/>
      <c r="HB282" s="2297"/>
      <c r="HC282" s="2297"/>
      <c r="HD282" s="2297"/>
      <c r="HE282" s="2297"/>
      <c r="HF282" s="2297"/>
      <c r="HG282" s="2297"/>
      <c r="HH282" s="2297"/>
      <c r="HI282" s="2297"/>
      <c r="HJ282" s="2297"/>
      <c r="HK282" s="2297"/>
      <c r="HL282" s="2297"/>
      <c r="HM282" s="2297"/>
      <c r="HN282" s="2297"/>
      <c r="HO282" s="2297"/>
      <c r="HP282" s="2297"/>
      <c r="HQ282" s="2297"/>
      <c r="HR282" s="2297"/>
      <c r="HS282" s="2297"/>
      <c r="HT282" s="2297"/>
      <c r="HU282" s="2297"/>
      <c r="HV282" s="2297"/>
      <c r="HW282" s="2297"/>
      <c r="HX282" s="2297"/>
      <c r="HY282" s="2297"/>
      <c r="HZ282" s="2297"/>
      <c r="IA282" s="2297"/>
      <c r="IB282" s="2297"/>
      <c r="IC282" s="2297"/>
      <c r="ID282" s="2297"/>
      <c r="IE282" s="2297"/>
      <c r="IF282" s="2297"/>
      <c r="IG282" s="2297"/>
      <c r="IH282" s="2297"/>
      <c r="II282" s="2297"/>
      <c r="IJ282" s="2297"/>
      <c r="IK282" s="2297"/>
      <c r="IL282" s="2297"/>
      <c r="IM282" s="2297"/>
      <c r="IN282" s="2297"/>
      <c r="IO282" s="2297"/>
      <c r="IP282" s="2297"/>
      <c r="IQ282" s="2297"/>
      <c r="IR282" s="2297"/>
      <c r="IS282" s="2297"/>
      <c r="IT282" s="2297"/>
      <c r="IU282" s="2297"/>
      <c r="IV282" s="2297"/>
    </row>
    <row r="283" spans="3:256">
      <c r="C283" s="2298"/>
      <c r="D283" s="2298"/>
      <c r="E283" s="2298"/>
      <c r="F283" s="2298"/>
      <c r="G283" s="2298"/>
      <c r="H283" s="2298"/>
      <c r="AC283" s="2297"/>
      <c r="AD283" s="2297"/>
      <c r="AE283" s="2297"/>
      <c r="AF283" s="2297"/>
      <c r="AG283" s="2297"/>
      <c r="AH283" s="2297"/>
      <c r="AI283" s="2297"/>
      <c r="AJ283" s="2297"/>
      <c r="AK283" s="2297"/>
      <c r="AL283" s="2297"/>
      <c r="AM283" s="2297"/>
      <c r="AN283" s="2297"/>
      <c r="AO283" s="2297"/>
      <c r="AP283" s="2297"/>
      <c r="AQ283" s="2297"/>
      <c r="AR283" s="2297"/>
      <c r="AS283" s="2297"/>
      <c r="AT283" s="2297"/>
      <c r="AU283" s="2297"/>
      <c r="AV283" s="2297"/>
      <c r="AW283" s="2297"/>
      <c r="AX283" s="2297"/>
      <c r="AY283" s="2297"/>
      <c r="AZ283" s="2297"/>
      <c r="BA283" s="2297"/>
      <c r="BB283" s="2297"/>
      <c r="BC283" s="2297"/>
      <c r="BD283" s="2297"/>
      <c r="BE283" s="2297"/>
      <c r="BF283" s="2297"/>
      <c r="BG283" s="2297"/>
      <c r="BH283" s="2297"/>
      <c r="BI283" s="2297"/>
      <c r="BJ283" s="2297"/>
      <c r="BK283" s="2297"/>
      <c r="BL283" s="2297"/>
      <c r="BM283" s="2297"/>
      <c r="BN283" s="2297"/>
      <c r="BO283" s="2297"/>
      <c r="BP283" s="2297"/>
      <c r="BQ283" s="2297"/>
      <c r="BR283" s="2297"/>
      <c r="BS283" s="2297"/>
      <c r="BT283" s="2297"/>
      <c r="BU283" s="2297"/>
      <c r="BV283" s="2297"/>
      <c r="BW283" s="2297"/>
      <c r="BX283" s="2297"/>
      <c r="BY283" s="2297"/>
      <c r="BZ283" s="2297"/>
      <c r="CA283" s="2297"/>
      <c r="CB283" s="2297"/>
      <c r="CC283" s="2297"/>
      <c r="CD283" s="2297"/>
      <c r="CE283" s="2297"/>
      <c r="CF283" s="2297"/>
      <c r="CG283" s="2297"/>
      <c r="CH283" s="2297"/>
      <c r="CI283" s="2297"/>
      <c r="CJ283" s="2297"/>
      <c r="CK283" s="2297"/>
      <c r="CL283" s="2297"/>
      <c r="CM283" s="2297"/>
      <c r="CN283" s="2297"/>
      <c r="CO283" s="2297"/>
      <c r="CP283" s="2297"/>
      <c r="CQ283" s="2297"/>
      <c r="CR283" s="2297"/>
      <c r="CS283" s="2297"/>
      <c r="CT283" s="2297"/>
      <c r="CU283" s="2297"/>
      <c r="CV283" s="2297"/>
      <c r="CW283" s="2297"/>
      <c r="CX283" s="2297"/>
      <c r="CY283" s="2297"/>
      <c r="CZ283" s="2297"/>
      <c r="DA283" s="2297"/>
      <c r="DB283" s="2297"/>
      <c r="DC283" s="2297"/>
      <c r="DD283" s="2297"/>
      <c r="DE283" s="2297"/>
      <c r="DF283" s="2297"/>
      <c r="DG283" s="2297"/>
      <c r="DH283" s="2297"/>
      <c r="DI283" s="2297"/>
      <c r="DJ283" s="2297"/>
      <c r="DK283" s="2297"/>
      <c r="DL283" s="2297"/>
      <c r="DM283" s="2297"/>
      <c r="DN283" s="2297"/>
      <c r="DO283" s="2297"/>
      <c r="DP283" s="2297"/>
      <c r="DQ283" s="2297"/>
      <c r="DR283" s="2297"/>
      <c r="DS283" s="2297"/>
      <c r="DT283" s="2297"/>
      <c r="DU283" s="2297"/>
      <c r="DV283" s="2297"/>
      <c r="DW283" s="2297"/>
      <c r="DX283" s="2297"/>
      <c r="DY283" s="2297"/>
      <c r="DZ283" s="2297"/>
      <c r="EA283" s="2297"/>
      <c r="EB283" s="2297"/>
      <c r="EC283" s="2297"/>
      <c r="ED283" s="2297"/>
      <c r="EE283" s="2297"/>
      <c r="EF283" s="2297"/>
      <c r="EG283" s="2297"/>
      <c r="EH283" s="2297"/>
      <c r="EI283" s="2297"/>
      <c r="EJ283" s="2297"/>
      <c r="EK283" s="2297"/>
      <c r="EL283" s="2297"/>
      <c r="EM283" s="2297"/>
      <c r="EN283" s="2297"/>
      <c r="EO283" s="2297"/>
      <c r="EP283" s="2297"/>
      <c r="EQ283" s="2297"/>
      <c r="ER283" s="2297"/>
      <c r="ES283" s="2297"/>
      <c r="ET283" s="2297"/>
      <c r="EU283" s="2297"/>
      <c r="EV283" s="2297"/>
      <c r="EW283" s="2297"/>
      <c r="EX283" s="2297"/>
      <c r="EY283" s="2297"/>
      <c r="EZ283" s="2297"/>
      <c r="FA283" s="2297"/>
      <c r="FB283" s="2297"/>
      <c r="FC283" s="2297"/>
      <c r="FD283" s="2297"/>
      <c r="FE283" s="2297"/>
      <c r="FF283" s="2297"/>
      <c r="FG283" s="2297"/>
      <c r="FH283" s="2297"/>
      <c r="FI283" s="2297"/>
      <c r="FJ283" s="2297"/>
      <c r="FK283" s="2297"/>
      <c r="FL283" s="2297"/>
      <c r="FM283" s="2297"/>
      <c r="FN283" s="2297"/>
      <c r="FO283" s="2297"/>
      <c r="FP283" s="2297"/>
      <c r="FQ283" s="2297"/>
      <c r="FR283" s="2297"/>
      <c r="FS283" s="2297"/>
      <c r="FT283" s="2297"/>
      <c r="FU283" s="2297"/>
      <c r="FV283" s="2297"/>
      <c r="FW283" s="2297"/>
      <c r="FX283" s="2297"/>
      <c r="FY283" s="2297"/>
      <c r="FZ283" s="2297"/>
      <c r="GA283" s="2297"/>
      <c r="GB283" s="2297"/>
      <c r="GC283" s="2297"/>
      <c r="GD283" s="2297"/>
      <c r="GE283" s="2297"/>
      <c r="GF283" s="2297"/>
      <c r="GG283" s="2297"/>
      <c r="GH283" s="2297"/>
      <c r="GI283" s="2297"/>
      <c r="GJ283" s="2297"/>
      <c r="GK283" s="2297"/>
      <c r="GL283" s="2297"/>
      <c r="GM283" s="2297"/>
      <c r="GN283" s="2297"/>
      <c r="GO283" s="2297"/>
      <c r="GP283" s="2297"/>
      <c r="GQ283" s="2297"/>
      <c r="GR283" s="2297"/>
      <c r="GS283" s="2297"/>
      <c r="GT283" s="2297"/>
      <c r="GU283" s="2297"/>
      <c r="GV283" s="2297"/>
      <c r="GW283" s="2297"/>
      <c r="GX283" s="2297"/>
      <c r="GY283" s="2297"/>
      <c r="GZ283" s="2297"/>
      <c r="HA283" s="2297"/>
      <c r="HB283" s="2297"/>
      <c r="HC283" s="2297"/>
      <c r="HD283" s="2297"/>
      <c r="HE283" s="2297"/>
      <c r="HF283" s="2297"/>
      <c r="HG283" s="2297"/>
      <c r="HH283" s="2297"/>
      <c r="HI283" s="2297"/>
      <c r="HJ283" s="2297"/>
      <c r="HK283" s="2297"/>
      <c r="HL283" s="2297"/>
      <c r="HM283" s="2297"/>
      <c r="HN283" s="2297"/>
      <c r="HO283" s="2297"/>
      <c r="HP283" s="2297"/>
      <c r="HQ283" s="2297"/>
      <c r="HR283" s="2297"/>
      <c r="HS283" s="2297"/>
      <c r="HT283" s="2297"/>
      <c r="HU283" s="2297"/>
      <c r="HV283" s="2297"/>
      <c r="HW283" s="2297"/>
      <c r="HX283" s="2297"/>
      <c r="HY283" s="2297"/>
      <c r="HZ283" s="2297"/>
      <c r="IA283" s="2297"/>
      <c r="IB283" s="2297"/>
      <c r="IC283" s="2297"/>
      <c r="ID283" s="2297"/>
      <c r="IE283" s="2297"/>
      <c r="IF283" s="2297"/>
      <c r="IG283" s="2297"/>
      <c r="IH283" s="2297"/>
      <c r="II283" s="2297"/>
      <c r="IJ283" s="2297"/>
      <c r="IK283" s="2297"/>
      <c r="IL283" s="2297"/>
      <c r="IM283" s="2297"/>
      <c r="IN283" s="2297"/>
      <c r="IO283" s="2297"/>
      <c r="IP283" s="2297"/>
      <c r="IQ283" s="2297"/>
      <c r="IR283" s="2297"/>
      <c r="IS283" s="2297"/>
      <c r="IT283" s="2297"/>
      <c r="IU283" s="2297"/>
      <c r="IV283" s="2297"/>
    </row>
    <row r="284" spans="3:256">
      <c r="C284" s="2298"/>
      <c r="D284" s="2298"/>
      <c r="E284" s="2298"/>
      <c r="F284" s="2298"/>
      <c r="G284" s="2298"/>
      <c r="H284" s="2298"/>
      <c r="AC284" s="2297"/>
      <c r="AD284" s="2297"/>
      <c r="AE284" s="2297"/>
      <c r="AF284" s="2297"/>
      <c r="AG284" s="2297"/>
      <c r="AH284" s="2297"/>
      <c r="AI284" s="2297"/>
      <c r="AJ284" s="2297"/>
      <c r="AK284" s="2297"/>
      <c r="AL284" s="2297"/>
      <c r="AM284" s="2297"/>
      <c r="AN284" s="2297"/>
      <c r="AO284" s="2297"/>
      <c r="AP284" s="2297"/>
      <c r="AQ284" s="2297"/>
      <c r="AR284" s="2297"/>
      <c r="AS284" s="2297"/>
      <c r="AT284" s="2297"/>
      <c r="AU284" s="2297"/>
      <c r="AV284" s="2297"/>
      <c r="AW284" s="2297"/>
      <c r="AX284" s="2297"/>
      <c r="AY284" s="2297"/>
      <c r="AZ284" s="2297"/>
      <c r="BA284" s="2297"/>
      <c r="BB284" s="2297"/>
      <c r="BC284" s="2297"/>
      <c r="BD284" s="2297"/>
      <c r="BE284" s="2297"/>
      <c r="BF284" s="2297"/>
      <c r="BG284" s="2297"/>
      <c r="BH284" s="2297"/>
      <c r="BI284" s="2297"/>
      <c r="BJ284" s="2297"/>
      <c r="BK284" s="2297"/>
      <c r="BL284" s="2297"/>
      <c r="BM284" s="2297"/>
      <c r="BN284" s="2297"/>
      <c r="BO284" s="2297"/>
      <c r="BP284" s="2297"/>
      <c r="BQ284" s="2297"/>
      <c r="BR284" s="2297"/>
      <c r="BS284" s="2297"/>
      <c r="BT284" s="2297"/>
      <c r="BU284" s="2297"/>
      <c r="BV284" s="2297"/>
      <c r="BW284" s="2297"/>
      <c r="BX284" s="2297"/>
      <c r="BY284" s="2297"/>
      <c r="BZ284" s="2297"/>
      <c r="CA284" s="2297"/>
      <c r="CB284" s="2297"/>
      <c r="CC284" s="2297"/>
      <c r="CD284" s="2297"/>
      <c r="CE284" s="2297"/>
      <c r="CF284" s="2297"/>
      <c r="CG284" s="2297"/>
      <c r="CH284" s="2297"/>
      <c r="CI284" s="2297"/>
      <c r="CJ284" s="2297"/>
      <c r="CK284" s="2297"/>
      <c r="CL284" s="2297"/>
      <c r="CM284" s="2297"/>
      <c r="CN284" s="2297"/>
      <c r="CO284" s="2297"/>
      <c r="CP284" s="2297"/>
      <c r="CQ284" s="2297"/>
      <c r="CR284" s="2297"/>
      <c r="CS284" s="2297"/>
      <c r="CT284" s="2297"/>
      <c r="CU284" s="2297"/>
      <c r="CV284" s="2297"/>
      <c r="CW284" s="2297"/>
      <c r="CX284" s="2297"/>
      <c r="CY284" s="2297"/>
      <c r="CZ284" s="2297"/>
      <c r="DA284" s="2297"/>
      <c r="DB284" s="2297"/>
      <c r="DC284" s="2297"/>
      <c r="DD284" s="2297"/>
      <c r="DE284" s="2297"/>
      <c r="DF284" s="2297"/>
      <c r="DG284" s="2297"/>
      <c r="DH284" s="2297"/>
      <c r="DI284" s="2297"/>
      <c r="DJ284" s="2297"/>
      <c r="DK284" s="2297"/>
      <c r="DL284" s="2297"/>
      <c r="DM284" s="2297"/>
      <c r="DN284" s="2297"/>
      <c r="DO284" s="2297"/>
      <c r="DP284" s="2297"/>
      <c r="DQ284" s="2297"/>
      <c r="DR284" s="2297"/>
      <c r="DS284" s="2297"/>
      <c r="DT284" s="2297"/>
      <c r="DU284" s="2297"/>
      <c r="DV284" s="2297"/>
      <c r="DW284" s="2297"/>
      <c r="DX284" s="2297"/>
      <c r="DY284" s="2297"/>
      <c r="DZ284" s="2297"/>
      <c r="EA284" s="2297"/>
      <c r="EB284" s="2297"/>
      <c r="EC284" s="2297"/>
      <c r="ED284" s="2297"/>
      <c r="EE284" s="2297"/>
      <c r="EF284" s="2297"/>
      <c r="EG284" s="2297"/>
      <c r="EH284" s="2297"/>
      <c r="EI284" s="2297"/>
      <c r="EJ284" s="2297"/>
      <c r="EK284" s="2297"/>
      <c r="EL284" s="2297"/>
      <c r="EM284" s="2297"/>
      <c r="EN284" s="2297"/>
      <c r="EO284" s="2297"/>
      <c r="EP284" s="2297"/>
      <c r="EQ284" s="2297"/>
      <c r="ER284" s="2297"/>
      <c r="ES284" s="2297"/>
      <c r="ET284" s="2297"/>
      <c r="EU284" s="2297"/>
      <c r="EV284" s="2297"/>
      <c r="EW284" s="2297"/>
      <c r="EX284" s="2297"/>
      <c r="EY284" s="2297"/>
      <c r="EZ284" s="2297"/>
      <c r="FA284" s="2297"/>
      <c r="FB284" s="2297"/>
      <c r="FC284" s="2297"/>
      <c r="FD284" s="2297"/>
      <c r="FE284" s="2297"/>
      <c r="FF284" s="2297"/>
      <c r="FG284" s="2297"/>
      <c r="FH284" s="2297"/>
      <c r="FI284" s="2297"/>
      <c r="FJ284" s="2297"/>
      <c r="FK284" s="2297"/>
      <c r="FL284" s="2297"/>
      <c r="FM284" s="2297"/>
      <c r="FN284" s="2297"/>
      <c r="FO284" s="2297"/>
      <c r="FP284" s="2297"/>
      <c r="FQ284" s="2297"/>
      <c r="FR284" s="2297"/>
      <c r="FS284" s="2297"/>
      <c r="FT284" s="2297"/>
      <c r="FU284" s="2297"/>
      <c r="FV284" s="2297"/>
      <c r="FW284" s="2297"/>
      <c r="FX284" s="2297"/>
      <c r="FY284" s="2297"/>
      <c r="FZ284" s="2297"/>
      <c r="GA284" s="2297"/>
      <c r="GB284" s="2297"/>
      <c r="GC284" s="2297"/>
      <c r="GD284" s="2297"/>
      <c r="GE284" s="2297"/>
      <c r="GF284" s="2297"/>
      <c r="GG284" s="2297"/>
      <c r="GH284" s="2297"/>
      <c r="GI284" s="2297"/>
      <c r="GJ284" s="2297"/>
      <c r="GK284" s="2297"/>
      <c r="GL284" s="2297"/>
      <c r="GM284" s="2297"/>
      <c r="GN284" s="2297"/>
      <c r="GO284" s="2297"/>
      <c r="GP284" s="2297"/>
      <c r="GQ284" s="2297"/>
      <c r="GR284" s="2297"/>
      <c r="GS284" s="2297"/>
      <c r="GT284" s="2297"/>
      <c r="GU284" s="2297"/>
      <c r="GV284" s="2297"/>
      <c r="GW284" s="2297"/>
      <c r="GX284" s="2297"/>
      <c r="GY284" s="2297"/>
      <c r="GZ284" s="2297"/>
      <c r="HA284" s="2297"/>
      <c r="HB284" s="2297"/>
      <c r="HC284" s="2297"/>
      <c r="HD284" s="2297"/>
      <c r="HE284" s="2297"/>
      <c r="HF284" s="2297"/>
      <c r="HG284" s="2297"/>
      <c r="HH284" s="2297"/>
      <c r="HI284" s="2297"/>
      <c r="HJ284" s="2297"/>
      <c r="HK284" s="2297"/>
      <c r="HL284" s="2297"/>
      <c r="HM284" s="2297"/>
      <c r="HN284" s="2297"/>
      <c r="HO284" s="2297"/>
      <c r="HP284" s="2297"/>
      <c r="HQ284" s="2297"/>
      <c r="HR284" s="2297"/>
      <c r="HS284" s="2297"/>
      <c r="HT284" s="2297"/>
      <c r="HU284" s="2297"/>
      <c r="HV284" s="2297"/>
      <c r="HW284" s="2297"/>
      <c r="HX284" s="2297"/>
      <c r="HY284" s="2297"/>
      <c r="HZ284" s="2297"/>
      <c r="IA284" s="2297"/>
      <c r="IB284" s="2297"/>
      <c r="IC284" s="2297"/>
      <c r="ID284" s="2297"/>
      <c r="IE284" s="2297"/>
      <c r="IF284" s="2297"/>
      <c r="IG284" s="2297"/>
      <c r="IH284" s="2297"/>
      <c r="II284" s="2297"/>
      <c r="IJ284" s="2297"/>
      <c r="IK284" s="2297"/>
      <c r="IL284" s="2297"/>
      <c r="IM284" s="2297"/>
      <c r="IN284" s="2297"/>
      <c r="IO284" s="2297"/>
      <c r="IP284" s="2297"/>
      <c r="IQ284" s="2297"/>
      <c r="IR284" s="2297"/>
      <c r="IS284" s="2297"/>
      <c r="IT284" s="2297"/>
      <c r="IU284" s="2297"/>
      <c r="IV284" s="2297"/>
    </row>
    <row r="285" spans="3:256">
      <c r="AC285" s="2297"/>
      <c r="AD285" s="2297"/>
      <c r="AE285" s="2297"/>
      <c r="AF285" s="2297"/>
      <c r="AG285" s="2297"/>
      <c r="AH285" s="2297"/>
      <c r="AI285" s="2297"/>
      <c r="AJ285" s="2297"/>
      <c r="AK285" s="2297"/>
      <c r="AL285" s="2297"/>
      <c r="AM285" s="2297"/>
      <c r="AN285" s="2297"/>
      <c r="AO285" s="2297"/>
      <c r="AP285" s="2297"/>
      <c r="AQ285" s="2297"/>
      <c r="AR285" s="2297"/>
      <c r="AS285" s="2297"/>
      <c r="AT285" s="2297"/>
      <c r="AU285" s="2297"/>
      <c r="AV285" s="2297"/>
      <c r="AW285" s="2297"/>
      <c r="AX285" s="2297"/>
      <c r="AY285" s="2297"/>
      <c r="AZ285" s="2297"/>
      <c r="BA285" s="2297"/>
      <c r="BB285" s="2297"/>
      <c r="BC285" s="2297"/>
      <c r="BD285" s="2297"/>
      <c r="BE285" s="2297"/>
      <c r="BF285" s="2297"/>
      <c r="BG285" s="2297"/>
      <c r="BH285" s="2297"/>
      <c r="BI285" s="2297"/>
      <c r="BJ285" s="2297"/>
      <c r="BK285" s="2297"/>
      <c r="BL285" s="2297"/>
      <c r="BM285" s="2297"/>
      <c r="BN285" s="2297"/>
      <c r="BO285" s="2297"/>
      <c r="BP285" s="2297"/>
      <c r="BQ285" s="2297"/>
      <c r="BR285" s="2297"/>
      <c r="BS285" s="2297"/>
      <c r="BT285" s="2297"/>
      <c r="BU285" s="2297"/>
      <c r="BV285" s="2297"/>
      <c r="BW285" s="2297"/>
      <c r="BX285" s="2297"/>
      <c r="BY285" s="2297"/>
      <c r="BZ285" s="2297"/>
      <c r="CA285" s="2297"/>
      <c r="CB285" s="2297"/>
      <c r="CC285" s="2297"/>
      <c r="CD285" s="2297"/>
      <c r="CE285" s="2297"/>
      <c r="CF285" s="2297"/>
      <c r="CG285" s="2297"/>
      <c r="CH285" s="2297"/>
      <c r="CI285" s="2297"/>
      <c r="CJ285" s="2297"/>
      <c r="CK285" s="2297"/>
      <c r="CL285" s="2297"/>
      <c r="CM285" s="2297"/>
      <c r="CN285" s="2297"/>
      <c r="CO285" s="2297"/>
      <c r="CP285" s="2297"/>
      <c r="CQ285" s="2297"/>
      <c r="CR285" s="2297"/>
      <c r="CS285" s="2297"/>
      <c r="CT285" s="2297"/>
      <c r="CU285" s="2297"/>
      <c r="CV285" s="2297"/>
      <c r="CW285" s="2297"/>
      <c r="CX285" s="2297"/>
      <c r="CY285" s="2297"/>
      <c r="CZ285" s="2297"/>
      <c r="DA285" s="2297"/>
      <c r="DB285" s="2297"/>
      <c r="DC285" s="2297"/>
      <c r="DD285" s="2297"/>
      <c r="DE285" s="2297"/>
      <c r="DF285" s="2297"/>
      <c r="DG285" s="2297"/>
      <c r="DH285" s="2297"/>
      <c r="DI285" s="2297"/>
      <c r="DJ285" s="2297"/>
      <c r="DK285" s="2297"/>
      <c r="DL285" s="2297"/>
      <c r="DM285" s="2297"/>
      <c r="DN285" s="2297"/>
      <c r="DO285" s="2297"/>
      <c r="DP285" s="2297"/>
      <c r="DQ285" s="2297"/>
      <c r="DR285" s="2297"/>
      <c r="DS285" s="2297"/>
      <c r="DT285" s="2297"/>
      <c r="DU285" s="2297"/>
      <c r="DV285" s="2297"/>
      <c r="DW285" s="2297"/>
      <c r="DX285" s="2297"/>
      <c r="DY285" s="2297"/>
      <c r="DZ285" s="2297"/>
      <c r="EA285" s="2297"/>
      <c r="EB285" s="2297"/>
      <c r="EC285" s="2297"/>
      <c r="ED285" s="2297"/>
      <c r="EE285" s="2297"/>
      <c r="EF285" s="2297"/>
      <c r="EG285" s="2297"/>
      <c r="EH285" s="2297"/>
      <c r="EI285" s="2297"/>
      <c r="EJ285" s="2297"/>
      <c r="EK285" s="2297"/>
      <c r="EL285" s="2297"/>
      <c r="EM285" s="2297"/>
      <c r="EN285" s="2297"/>
      <c r="EO285" s="2297"/>
      <c r="EP285" s="2297"/>
      <c r="EQ285" s="2297"/>
      <c r="ER285" s="2297"/>
      <c r="ES285" s="2297"/>
      <c r="ET285" s="2297"/>
      <c r="EU285" s="2297"/>
      <c r="EV285" s="2297"/>
      <c r="EW285" s="2297"/>
      <c r="EX285" s="2297"/>
      <c r="EY285" s="2297"/>
      <c r="EZ285" s="2297"/>
      <c r="FA285" s="2297"/>
      <c r="FB285" s="2297"/>
      <c r="FC285" s="2297"/>
      <c r="FD285" s="2297"/>
      <c r="FE285" s="2297"/>
      <c r="FF285" s="2297"/>
      <c r="FG285" s="2297"/>
      <c r="FH285" s="2297"/>
      <c r="FI285" s="2297"/>
      <c r="FJ285" s="2297"/>
      <c r="FK285" s="2297"/>
      <c r="FL285" s="2297"/>
      <c r="FM285" s="2297"/>
      <c r="FN285" s="2297"/>
      <c r="FO285" s="2297"/>
      <c r="FP285" s="2297"/>
      <c r="FQ285" s="2297"/>
      <c r="FR285" s="2297"/>
      <c r="FS285" s="2297"/>
      <c r="FT285" s="2297"/>
      <c r="FU285" s="2297"/>
      <c r="FV285" s="2297"/>
      <c r="FW285" s="2297"/>
      <c r="FX285" s="2297"/>
      <c r="FY285" s="2297"/>
      <c r="FZ285" s="2297"/>
      <c r="GA285" s="2297"/>
      <c r="GB285" s="2297"/>
      <c r="GC285" s="2297"/>
      <c r="GD285" s="2297"/>
      <c r="GE285" s="2297"/>
      <c r="GF285" s="2297"/>
      <c r="GG285" s="2297"/>
      <c r="GH285" s="2297"/>
      <c r="GI285" s="2297"/>
      <c r="GJ285" s="2297"/>
      <c r="GK285" s="2297"/>
      <c r="GL285" s="2297"/>
      <c r="GM285" s="2297"/>
      <c r="GN285" s="2297"/>
      <c r="GO285" s="2297"/>
      <c r="GP285" s="2297"/>
      <c r="GQ285" s="2297"/>
      <c r="GR285" s="2297"/>
      <c r="GS285" s="2297"/>
      <c r="GT285" s="2297"/>
      <c r="GU285" s="2297"/>
      <c r="GV285" s="2297"/>
      <c r="GW285" s="2297"/>
      <c r="GX285" s="2297"/>
      <c r="GY285" s="2297"/>
      <c r="GZ285" s="2297"/>
      <c r="HA285" s="2297"/>
      <c r="HB285" s="2297"/>
      <c r="HC285" s="2297"/>
      <c r="HD285" s="2297"/>
      <c r="HE285" s="2297"/>
      <c r="HF285" s="2297"/>
      <c r="HG285" s="2297"/>
      <c r="HH285" s="2297"/>
      <c r="HI285" s="2297"/>
      <c r="HJ285" s="2297"/>
      <c r="HK285" s="2297"/>
      <c r="HL285" s="2297"/>
      <c r="HM285" s="2297"/>
      <c r="HN285" s="2297"/>
      <c r="HO285" s="2297"/>
      <c r="HP285" s="2297"/>
      <c r="HQ285" s="2297"/>
      <c r="HR285" s="2297"/>
      <c r="HS285" s="2297"/>
      <c r="HT285" s="2297"/>
      <c r="HU285" s="2297"/>
      <c r="HV285" s="2297"/>
      <c r="HW285" s="2297"/>
      <c r="HX285" s="2297"/>
      <c r="HY285" s="2297"/>
      <c r="HZ285" s="2297"/>
      <c r="IA285" s="2297"/>
      <c r="IB285" s="2297"/>
      <c r="IC285" s="2297"/>
      <c r="ID285" s="2297"/>
      <c r="IE285" s="2297"/>
      <c r="IF285" s="2297"/>
      <c r="IG285" s="2297"/>
      <c r="IH285" s="2297"/>
      <c r="II285" s="2297"/>
      <c r="IJ285" s="2297"/>
      <c r="IK285" s="2297"/>
      <c r="IL285" s="2297"/>
      <c r="IM285" s="2297"/>
      <c r="IN285" s="2297"/>
      <c r="IO285" s="2297"/>
      <c r="IP285" s="2297"/>
      <c r="IQ285" s="2297"/>
      <c r="IR285" s="2297"/>
      <c r="IS285" s="2297"/>
      <c r="IT285" s="2297"/>
      <c r="IU285" s="2297"/>
      <c r="IV285" s="2297"/>
    </row>
  </sheetData>
  <mergeCells count="7">
    <mergeCell ref="D152:H152"/>
    <mergeCell ref="D167:H167"/>
    <mergeCell ref="J6:J7"/>
    <mergeCell ref="A4:H4"/>
    <mergeCell ref="A5:H5"/>
    <mergeCell ref="A6:A7"/>
    <mergeCell ref="I6:I7"/>
  </mergeCells>
  <printOptions horizontalCentered="1"/>
  <pageMargins left="0.78740157480314965" right="0.19685039370078741" top="0.78740157480314965" bottom="0.39370078740157483" header="0.51181102362204722" footer="0.11811023622047245"/>
  <pageSetup paperSize="9" scale="87" orientation="portrait" r:id="rId1"/>
  <headerFooter alignWithMargins="0">
    <oddFooter>&amp;R&amp;8&amp;P</oddFooter>
  </headerFooter>
  <rowBreaks count="3" manualBreakCount="3">
    <brk id="67" max="16383" man="1"/>
    <brk id="127" max="16383" man="1"/>
    <brk id="169" max="16383" man="1"/>
  </rowBreaks>
  <colBreaks count="1" manualBreakCount="1">
    <brk id="8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pageSetUpPr fitToPage="1"/>
  </sheetPr>
  <dimension ref="A1:AM50"/>
  <sheetViews>
    <sheetView topLeftCell="A11" zoomScale="85" zoomScaleNormal="85" zoomScaleSheetLayoutView="65" workbookViewId="0">
      <selection activeCell="C28" sqref="A28:F30"/>
    </sheetView>
  </sheetViews>
  <sheetFormatPr defaultColWidth="9.109375" defaultRowHeight="13.2"/>
  <cols>
    <col min="1" max="1" width="36.6640625" style="2652" customWidth="1"/>
    <col min="2" max="2" width="17.88671875" style="2652" customWidth="1"/>
    <col min="3" max="3" width="19" style="2652" customWidth="1"/>
    <col min="4" max="4" width="18" style="2652" customWidth="1"/>
    <col min="5" max="5" width="17.88671875" style="2652" customWidth="1"/>
    <col min="6" max="6" width="19.33203125" style="2652" customWidth="1"/>
    <col min="7" max="9" width="10.44140625" style="2652" hidden="1" customWidth="1"/>
    <col min="10" max="11" width="10.88671875" style="2652" hidden="1" customWidth="1"/>
    <col min="12" max="12" width="12.88671875" style="2652" hidden="1" customWidth="1"/>
    <col min="13" max="13" width="9.6640625" style="2652" hidden="1" customWidth="1"/>
    <col min="14" max="16" width="0" style="2652" hidden="1" customWidth="1"/>
    <col min="17" max="17" width="9.33203125" style="2652" hidden="1" customWidth="1"/>
    <col min="18" max="30" width="0" style="2652" hidden="1" customWidth="1"/>
    <col min="31" max="31" width="14" style="2652" hidden="1" customWidth="1"/>
    <col min="32" max="38" width="0" style="2652" hidden="1" customWidth="1"/>
    <col min="39" max="39" width="14.33203125" style="2652" hidden="1" customWidth="1"/>
    <col min="40" max="41" width="0" style="2652" hidden="1" customWidth="1"/>
    <col min="42" max="16384" width="9.109375" style="2652"/>
  </cols>
  <sheetData>
    <row r="1" spans="1:39" ht="28.5" customHeight="1">
      <c r="A1" s="2651"/>
      <c r="E1" s="2828"/>
      <c r="F1" s="2828"/>
    </row>
    <row r="2" spans="1:39" ht="23.25" customHeight="1">
      <c r="A2" s="2829" t="s">
        <v>2051</v>
      </c>
      <c r="B2" s="2829"/>
      <c r="C2" s="2829"/>
      <c r="D2" s="2829"/>
      <c r="E2" s="2829"/>
      <c r="F2" s="2829"/>
      <c r="G2" s="2653"/>
    </row>
    <row r="3" spans="1:39" ht="24" customHeight="1">
      <c r="A3" s="2830" t="s">
        <v>1824</v>
      </c>
      <c r="B3" s="2830"/>
      <c r="C3" s="2830"/>
      <c r="D3" s="2830"/>
      <c r="E3" s="2830"/>
      <c r="F3" s="2830"/>
      <c r="G3" s="2653"/>
    </row>
    <row r="4" spans="1:39" ht="16.5" customHeight="1">
      <c r="A4" s="2831" t="s">
        <v>458</v>
      </c>
      <c r="B4" s="2831"/>
      <c r="C4" s="2831"/>
      <c r="D4" s="2831"/>
      <c r="E4" s="2831"/>
      <c r="F4" s="2831"/>
      <c r="G4" s="2653"/>
    </row>
    <row r="5" spans="1:39" ht="31.5" customHeight="1" thickBot="1">
      <c r="A5" s="2654"/>
      <c r="B5" s="2654"/>
      <c r="C5" s="2654"/>
      <c r="D5" s="2654"/>
      <c r="E5" s="2654"/>
      <c r="F5" s="2654"/>
      <c r="G5" s="2653"/>
    </row>
    <row r="6" spans="1:39" ht="24" customHeight="1">
      <c r="A6" s="2832" t="s">
        <v>459</v>
      </c>
      <c r="B6" s="2834" t="s">
        <v>279</v>
      </c>
      <c r="C6" s="2836" t="s">
        <v>461</v>
      </c>
      <c r="D6" s="2837"/>
      <c r="E6" s="2837"/>
      <c r="F6" s="2838"/>
      <c r="G6" s="2655"/>
      <c r="H6" s="2656">
        <v>8926.3373200000005</v>
      </c>
      <c r="I6" s="2657">
        <v>1.2115050007458046</v>
      </c>
    </row>
    <row r="7" spans="1:39" ht="45" customHeight="1" thickBot="1">
      <c r="A7" s="2833"/>
      <c r="B7" s="2835"/>
      <c r="C7" s="2658" t="s">
        <v>292</v>
      </c>
      <c r="D7" s="2658" t="s">
        <v>217</v>
      </c>
      <c r="E7" s="2658" t="s">
        <v>218</v>
      </c>
      <c r="F7" s="2659" t="s">
        <v>280</v>
      </c>
      <c r="G7" s="2655"/>
      <c r="H7" s="2652">
        <v>8926.3383200000007</v>
      </c>
      <c r="I7" s="2652">
        <v>1.2115050007458044</v>
      </c>
    </row>
    <row r="8" spans="1:39" ht="26.25" customHeight="1">
      <c r="A8" s="2809" t="s">
        <v>1910</v>
      </c>
      <c r="B8" s="2810"/>
      <c r="C8" s="2810"/>
      <c r="D8" s="2810"/>
      <c r="E8" s="2810"/>
      <c r="F8" s="2811"/>
      <c r="G8" s="2492"/>
      <c r="H8" s="2660"/>
    </row>
    <row r="9" spans="1:39" ht="29.25" customHeight="1" thickBot="1">
      <c r="A9" s="2812" t="s">
        <v>467</v>
      </c>
      <c r="B9" s="2813"/>
      <c r="C9" s="2813"/>
      <c r="D9" s="2813"/>
      <c r="E9" s="2813"/>
      <c r="F9" s="2814"/>
      <c r="G9" s="2492"/>
      <c r="H9" s="2660"/>
      <c r="AA9" s="2652">
        <v>436.464</v>
      </c>
    </row>
    <row r="10" spans="1:39" ht="37.5" customHeight="1">
      <c r="A10" s="2487" t="s">
        <v>933</v>
      </c>
      <c r="B10" s="2488">
        <v>8873.5190000000002</v>
      </c>
      <c r="C10" s="2489">
        <v>2765.223</v>
      </c>
      <c r="D10" s="2490"/>
      <c r="E10" s="2489">
        <v>5671.8329999999996</v>
      </c>
      <c r="F10" s="2491">
        <v>436.46300000000002</v>
      </c>
      <c r="G10" s="2492"/>
      <c r="H10" s="2660"/>
      <c r="J10" s="2661">
        <v>7377.9867232199576</v>
      </c>
      <c r="K10" s="2652">
        <v>8760</v>
      </c>
      <c r="L10" s="2652" t="s">
        <v>1911</v>
      </c>
      <c r="AE10" s="2652" t="s">
        <v>2052</v>
      </c>
    </row>
    <row r="11" spans="1:39" ht="34.5" customHeight="1" thickBot="1">
      <c r="A11" s="2495" t="s">
        <v>464</v>
      </c>
      <c r="B11" s="2496">
        <v>1.2027019474124712</v>
      </c>
      <c r="C11" s="2497">
        <v>0.35553223324934458</v>
      </c>
      <c r="D11" s="2498"/>
      <c r="E11" s="2497">
        <v>0.78341352466540948</v>
      </c>
      <c r="F11" s="2499">
        <v>6.37561894977169E-2</v>
      </c>
      <c r="G11" s="2492"/>
      <c r="H11" s="2660"/>
      <c r="Z11" s="2661">
        <v>7777.6998578372859</v>
      </c>
      <c r="AB11" s="2652">
        <v>7777.6998578372859</v>
      </c>
      <c r="AE11" s="2652">
        <v>7333.8258984442009</v>
      </c>
    </row>
    <row r="12" spans="1:39" ht="20.25" customHeight="1">
      <c r="A12" s="2815" t="s">
        <v>934</v>
      </c>
      <c r="B12" s="2816"/>
      <c r="C12" s="2816"/>
      <c r="D12" s="2816"/>
      <c r="E12" s="2816"/>
      <c r="F12" s="2817"/>
      <c r="G12" s="2492"/>
      <c r="H12" s="2660"/>
      <c r="S12" s="2662" t="s">
        <v>1925</v>
      </c>
      <c r="T12" s="2662"/>
      <c r="Z12" s="2652" t="s">
        <v>1997</v>
      </c>
    </row>
    <row r="13" spans="1:39" ht="29.25" customHeight="1">
      <c r="A13" s="2818" t="s">
        <v>1503</v>
      </c>
      <c r="B13" s="2819"/>
      <c r="C13" s="2819"/>
      <c r="D13" s="2819"/>
      <c r="E13" s="2819"/>
      <c r="F13" s="2820"/>
      <c r="G13" s="2500" t="s">
        <v>292</v>
      </c>
      <c r="H13" s="2663" t="s">
        <v>348</v>
      </c>
      <c r="I13" s="2664" t="s">
        <v>280</v>
      </c>
      <c r="J13" s="2652" t="s">
        <v>248</v>
      </c>
      <c r="S13" s="2662" t="s">
        <v>292</v>
      </c>
      <c r="T13" s="2662" t="s">
        <v>348</v>
      </c>
      <c r="U13" s="2662" t="s">
        <v>280</v>
      </c>
      <c r="V13" s="2662"/>
      <c r="AA13" s="2652" t="s">
        <v>292</v>
      </c>
      <c r="AB13" s="2652" t="s">
        <v>348</v>
      </c>
      <c r="AC13" s="2652" t="s">
        <v>280</v>
      </c>
      <c r="AE13" s="2652" t="s">
        <v>292</v>
      </c>
      <c r="AF13" s="2652" t="s">
        <v>348</v>
      </c>
      <c r="AG13" s="2652" t="s">
        <v>280</v>
      </c>
    </row>
    <row r="14" spans="1:39" ht="36.75" customHeight="1">
      <c r="A14" s="2487" t="s">
        <v>933</v>
      </c>
      <c r="B14" s="2501">
        <v>8277.2000000000007</v>
      </c>
      <c r="C14" s="2502">
        <v>2765.223</v>
      </c>
      <c r="D14" s="2502"/>
      <c r="E14" s="2502">
        <v>5340.8209999999999</v>
      </c>
      <c r="F14" s="2503">
        <v>171.15600000000001</v>
      </c>
      <c r="G14" s="2504">
        <v>2765.223</v>
      </c>
      <c r="H14" s="2665">
        <v>5340.8209999999999</v>
      </c>
      <c r="I14" s="2666">
        <v>171.15700000000001</v>
      </c>
      <c r="J14" s="2504"/>
      <c r="K14" s="2661">
        <v>7502.1155730321216</v>
      </c>
      <c r="L14" s="2656">
        <v>8277.2010000000009</v>
      </c>
      <c r="M14" s="2652" t="s">
        <v>1696</v>
      </c>
      <c r="O14" s="2652">
        <v>780.95</v>
      </c>
      <c r="Q14" s="2656">
        <v>5511.9769999999999</v>
      </c>
      <c r="S14" s="2662">
        <v>3493.308</v>
      </c>
      <c r="T14" s="2662">
        <v>4365.552999999999</v>
      </c>
      <c r="U14" s="2662">
        <v>64.186999999999998</v>
      </c>
      <c r="V14" s="2662"/>
      <c r="Z14" s="2652" t="s">
        <v>1998</v>
      </c>
      <c r="AA14" s="2652">
        <v>2765.223</v>
      </c>
      <c r="AB14" s="2652">
        <v>3607.386</v>
      </c>
      <c r="AC14" s="2652">
        <v>110.593</v>
      </c>
      <c r="AF14" s="2652">
        <v>3790.4780000000001</v>
      </c>
      <c r="AG14" s="2652">
        <v>108.348</v>
      </c>
      <c r="AI14" s="2652" t="s">
        <v>292</v>
      </c>
      <c r="AJ14" s="2652" t="s">
        <v>348</v>
      </c>
      <c r="AK14" s="2652" t="s">
        <v>280</v>
      </c>
      <c r="AM14" s="2502">
        <v>1901.788</v>
      </c>
    </row>
    <row r="15" spans="1:39" ht="27" customHeight="1">
      <c r="A15" s="2505" t="s">
        <v>464</v>
      </c>
      <c r="B15" s="2506">
        <v>1.1033154474124709</v>
      </c>
      <c r="C15" s="2496">
        <v>0.35553223324934458</v>
      </c>
      <c r="D15" s="2496"/>
      <c r="E15" s="2496">
        <v>0.72824485799874283</v>
      </c>
      <c r="F15" s="2499">
        <v>1.9538356164383562E-2</v>
      </c>
      <c r="G15" s="2500">
        <v>7777.6998578372859</v>
      </c>
      <c r="H15" s="2663">
        <v>7333.8258984442009</v>
      </c>
      <c r="I15" s="2664">
        <v>8760</v>
      </c>
      <c r="J15" s="2664"/>
      <c r="K15" s="2652">
        <v>1.1033154474124709</v>
      </c>
      <c r="L15" s="2652">
        <v>7570</v>
      </c>
      <c r="M15" s="2652" t="s">
        <v>1912</v>
      </c>
      <c r="O15" s="2652">
        <v>2285.7830000000004</v>
      </c>
      <c r="Q15" s="2667">
        <v>0.74778321416312643</v>
      </c>
      <c r="R15" s="2652">
        <v>7371.0895024150414</v>
      </c>
      <c r="Z15" s="2652" t="s">
        <v>1999</v>
      </c>
      <c r="AB15" s="2652">
        <v>369.37009999999998</v>
      </c>
      <c r="AC15" s="2652">
        <v>318.34800000000001</v>
      </c>
      <c r="AF15" s="2652">
        <v>10.686999999999999</v>
      </c>
      <c r="AG15" s="2652">
        <v>288.20800000000003</v>
      </c>
      <c r="AI15" s="2661">
        <v>7777.6998578372859</v>
      </c>
      <c r="AJ15" s="2652">
        <v>7333.8258984442009</v>
      </c>
      <c r="AK15" s="2652">
        <v>8760</v>
      </c>
      <c r="AM15" s="2496">
        <v>0.42600000000000005</v>
      </c>
    </row>
    <row r="16" spans="1:39" ht="20.25" customHeight="1">
      <c r="A16" s="2821" t="s">
        <v>934</v>
      </c>
      <c r="B16" s="2822"/>
      <c r="C16" s="2822"/>
      <c r="D16" s="2822"/>
      <c r="E16" s="2822"/>
      <c r="F16" s="2823"/>
      <c r="G16" s="2665">
        <v>0</v>
      </c>
      <c r="H16" s="2666">
        <v>0</v>
      </c>
      <c r="I16" s="2665">
        <v>1.0000000000047748E-3</v>
      </c>
      <c r="J16" s="2664"/>
      <c r="K16" s="2664">
        <v>7502.1164793912258</v>
      </c>
      <c r="Z16" s="2652" t="s">
        <v>2000</v>
      </c>
    </row>
    <row r="17" spans="1:31" ht="31.5" customHeight="1">
      <c r="A17" s="2824" t="s">
        <v>1913</v>
      </c>
      <c r="B17" s="2825"/>
      <c r="C17" s="2825"/>
      <c r="D17" s="2825"/>
      <c r="E17" s="2825"/>
      <c r="F17" s="2826"/>
      <c r="G17" s="2492"/>
      <c r="H17" s="2504">
        <v>29.570666000000529</v>
      </c>
      <c r="I17" s="2668">
        <v>38.669999999999973</v>
      </c>
      <c r="K17" s="2652">
        <v>0.94230430327868864</v>
      </c>
      <c r="M17" s="2661">
        <v>9514.0229885057488</v>
      </c>
      <c r="Z17" s="2652" t="s">
        <v>2001</v>
      </c>
    </row>
    <row r="18" spans="1:31" ht="33.75" customHeight="1">
      <c r="A18" s="2487" t="s">
        <v>933</v>
      </c>
      <c r="B18" s="2507"/>
      <c r="C18" s="2508"/>
      <c r="D18" s="2508"/>
      <c r="E18" s="2509"/>
      <c r="F18" s="2510"/>
      <c r="G18" s="2511">
        <v>0.35553223324934458</v>
      </c>
      <c r="H18" s="2511">
        <v>0.72824485799874283</v>
      </c>
      <c r="I18" s="2511">
        <v>1.9538356164383569E-2</v>
      </c>
      <c r="J18" s="2512">
        <v>1.1033154474124709</v>
      </c>
      <c r="K18" s="2661">
        <v>7777.6998578372859</v>
      </c>
      <c r="L18" s="2661">
        <v>7333.8258984442009</v>
      </c>
      <c r="M18" s="2661">
        <v>8760</v>
      </c>
      <c r="Z18" s="2652" t="s">
        <v>2002</v>
      </c>
      <c r="AE18" s="2502">
        <v>2670.8339999999998</v>
      </c>
    </row>
    <row r="19" spans="1:31" ht="27.75" customHeight="1" thickBot="1">
      <c r="A19" s="2513" t="s">
        <v>464</v>
      </c>
      <c r="B19" s="2514"/>
      <c r="C19" s="2515"/>
      <c r="D19" s="2515"/>
      <c r="E19" s="2516"/>
      <c r="F19" s="2517"/>
      <c r="G19" s="2511">
        <v>0</v>
      </c>
      <c r="H19" s="2511">
        <v>0</v>
      </c>
      <c r="I19" s="2511">
        <v>0</v>
      </c>
      <c r="J19" s="2511"/>
      <c r="Z19" s="2652" t="s">
        <v>2003</v>
      </c>
      <c r="AE19" s="2652">
        <v>2765.223</v>
      </c>
    </row>
    <row r="20" spans="1:31" ht="32.25" customHeight="1">
      <c r="A20" s="2818" t="s">
        <v>1914</v>
      </c>
      <c r="B20" s="2819"/>
      <c r="C20" s="2819"/>
      <c r="D20" s="2819"/>
      <c r="E20" s="2819"/>
      <c r="F20" s="2820"/>
      <c r="G20" s="2511">
        <v>-9.5000000000000029E-2</v>
      </c>
      <c r="H20" s="2511">
        <v>-0.74440072258875267</v>
      </c>
      <c r="I20" s="2511">
        <v>-4.3428308143903145E-3</v>
      </c>
      <c r="J20" s="2511">
        <v>8.5539999999999505E-3</v>
      </c>
      <c r="K20" s="2511">
        <v>5.9993111366245799E-3</v>
      </c>
      <c r="L20" s="2511">
        <v>6.0000000000000002E-5</v>
      </c>
      <c r="M20" s="2511">
        <v>1.1218675799086197E-3</v>
      </c>
      <c r="T20" s="2662" t="s">
        <v>1926</v>
      </c>
      <c r="U20" s="2662" t="s">
        <v>1927</v>
      </c>
      <c r="AE20" s="2661">
        <v>7777.6998578372859</v>
      </c>
    </row>
    <row r="21" spans="1:31" ht="32.25" customHeight="1">
      <c r="A21" s="2505" t="s">
        <v>933</v>
      </c>
      <c r="B21" s="2501">
        <v>596.31899999999996</v>
      </c>
      <c r="C21" s="2518"/>
      <c r="D21" s="2518"/>
      <c r="E21" s="2502">
        <v>331.012</v>
      </c>
      <c r="F21" s="2519">
        <v>265.30700000000002</v>
      </c>
      <c r="G21" s="2660"/>
      <c r="H21" s="2660"/>
      <c r="I21" s="2652">
        <v>624.76</v>
      </c>
      <c r="J21" s="2661">
        <v>5999.9999999999991</v>
      </c>
      <c r="L21" s="2652">
        <v>5999.9999999999991</v>
      </c>
      <c r="M21" s="2652">
        <v>6000</v>
      </c>
      <c r="S21" s="2662"/>
      <c r="T21" s="2662">
        <v>360.93799999999999</v>
      </c>
      <c r="U21" s="2662">
        <v>309.49200000000002</v>
      </c>
      <c r="V21" s="2662"/>
      <c r="W21" s="2662"/>
      <c r="AE21" s="2661">
        <v>7333.8258984442009</v>
      </c>
    </row>
    <row r="22" spans="1:31" ht="32.25" customHeight="1" thickBot="1">
      <c r="A22" s="2505" t="s">
        <v>464</v>
      </c>
      <c r="B22" s="2496">
        <v>9.9386500000000003E-2</v>
      </c>
      <c r="C22" s="2520"/>
      <c r="D22" s="2520"/>
      <c r="E22" s="2496">
        <v>5.5168666666666664E-2</v>
      </c>
      <c r="F22" s="2521">
        <v>4.4217833333333338E-2</v>
      </c>
      <c r="G22" s="2660"/>
      <c r="H22" s="2660"/>
      <c r="I22" s="2652">
        <v>6000</v>
      </c>
      <c r="J22" s="2652">
        <v>6000</v>
      </c>
      <c r="L22" s="2652">
        <v>6494.8453608247419</v>
      </c>
      <c r="M22" s="2652">
        <v>3.0286187214611873E-2</v>
      </c>
      <c r="AE22" s="2652">
        <v>8760</v>
      </c>
    </row>
    <row r="23" spans="1:31" ht="32.25" hidden="1" customHeight="1">
      <c r="A23" s="2522" t="s">
        <v>934</v>
      </c>
      <c r="B23" s="2523"/>
      <c r="C23" s="2523"/>
      <c r="D23" s="2523"/>
      <c r="E23" s="2523"/>
      <c r="F23" s="2524"/>
      <c r="G23" s="2660"/>
      <c r="H23" s="2660"/>
      <c r="J23" s="2652">
        <v>6000</v>
      </c>
      <c r="L23" s="2652">
        <v>4475.3175067243601</v>
      </c>
      <c r="M23" s="2657">
        <v>1.3931646118721466E-2</v>
      </c>
    </row>
    <row r="24" spans="1:31" ht="24.75" hidden="1" customHeight="1">
      <c r="A24" s="2525" t="s">
        <v>1508</v>
      </c>
      <c r="B24" s="2644"/>
      <c r="C24" s="2644"/>
      <c r="D24" s="2644"/>
      <c r="E24" s="2644"/>
      <c r="F24" s="2526"/>
      <c r="G24" s="2660"/>
      <c r="H24" s="2660"/>
    </row>
    <row r="25" spans="1:31" ht="33" hidden="1" customHeight="1">
      <c r="A25" s="2505" t="s">
        <v>933</v>
      </c>
      <c r="B25" s="2501">
        <v>596.31899999999996</v>
      </c>
      <c r="C25" s="2518"/>
      <c r="D25" s="2518"/>
      <c r="E25" s="2502">
        <v>331.01099999999997</v>
      </c>
      <c r="F25" s="2503">
        <v>265.30799999999999</v>
      </c>
      <c r="G25" s="2660"/>
      <c r="H25" s="2660"/>
    </row>
    <row r="26" spans="1:31" ht="24.75" hidden="1" customHeight="1">
      <c r="A26" s="2505" t="s">
        <v>464</v>
      </c>
      <c r="B26" s="2496">
        <v>9.9386500000000016E-2</v>
      </c>
      <c r="C26" s="2520"/>
      <c r="D26" s="2520"/>
      <c r="E26" s="2496">
        <v>5.5168666666666664E-2</v>
      </c>
      <c r="F26" s="2499">
        <v>4.4217833333333345E-2</v>
      </c>
      <c r="G26" s="2660"/>
      <c r="H26" s="2660">
        <v>5999.9818737689266</v>
      </c>
    </row>
    <row r="27" spans="1:31" ht="24.75" hidden="1" customHeight="1">
      <c r="A27" s="2525" t="s">
        <v>1509</v>
      </c>
      <c r="B27" s="2644"/>
      <c r="C27" s="2644"/>
      <c r="D27" s="2644"/>
      <c r="E27" s="2527"/>
      <c r="F27" s="2526"/>
      <c r="G27" s="2660"/>
      <c r="H27" s="2660"/>
    </row>
    <row r="28" spans="1:31" ht="35.25" hidden="1" customHeight="1">
      <c r="A28" s="2505" t="s">
        <v>933</v>
      </c>
      <c r="B28" s="2528">
        <v>0</v>
      </c>
      <c r="C28" s="2529"/>
      <c r="D28" s="2529"/>
      <c r="E28" s="2528">
        <v>0</v>
      </c>
      <c r="F28" s="2530">
        <v>0</v>
      </c>
      <c r="G28" s="2660"/>
      <c r="H28" s="2660"/>
    </row>
    <row r="29" spans="1:31" ht="24.75" hidden="1" customHeight="1" thickBot="1">
      <c r="A29" s="2505" t="s">
        <v>464</v>
      </c>
      <c r="B29" s="2531">
        <v>0</v>
      </c>
      <c r="C29" s="2532"/>
      <c r="D29" s="2532"/>
      <c r="E29" s="2531">
        <v>0</v>
      </c>
      <c r="F29" s="2533">
        <v>0</v>
      </c>
      <c r="G29" s="2660"/>
      <c r="H29" s="2660"/>
    </row>
    <row r="30" spans="1:31" ht="33" customHeight="1" thickBot="1">
      <c r="A30" s="2809" t="s">
        <v>1915</v>
      </c>
      <c r="B30" s="2810"/>
      <c r="C30" s="2810"/>
      <c r="D30" s="2810"/>
      <c r="E30" s="2810"/>
      <c r="F30" s="2811"/>
      <c r="AE30" s="2661">
        <v>7502.1155730321216</v>
      </c>
    </row>
    <row r="31" spans="1:31" ht="28.5" customHeight="1">
      <c r="A31" s="2534" t="s">
        <v>933</v>
      </c>
      <c r="B31" s="2535">
        <v>139387.62400000001</v>
      </c>
      <c r="C31" s="2489">
        <v>139036.405</v>
      </c>
      <c r="D31" s="2536"/>
      <c r="E31" s="2489">
        <v>351.21899999999999</v>
      </c>
      <c r="F31" s="2537"/>
    </row>
    <row r="32" spans="1:31" ht="28.5" customHeight="1" thickBot="1">
      <c r="A32" s="2513" t="s">
        <v>464</v>
      </c>
      <c r="B32" s="2497">
        <v>22.654799999999998</v>
      </c>
      <c r="C32" s="2497">
        <v>22.599799999999998</v>
      </c>
      <c r="D32" s="2538"/>
      <c r="E32" s="2497">
        <v>5.5E-2</v>
      </c>
      <c r="F32" s="2539"/>
      <c r="AA32" s="2652">
        <v>6152.1077620155938</v>
      </c>
      <c r="AB32" s="2652">
        <v>6385.8</v>
      </c>
      <c r="AC32" s="2652" t="e">
        <v>#DIV/0!</v>
      </c>
    </row>
    <row r="33" spans="1:6" ht="17.25" customHeight="1">
      <c r="A33" s="2523"/>
      <c r="B33" s="2523"/>
      <c r="C33" s="2492"/>
      <c r="D33" s="2492"/>
      <c r="E33" s="2669"/>
      <c r="F33" s="2669"/>
    </row>
    <row r="34" spans="1:6" ht="17.25" customHeight="1">
      <c r="A34" s="2827" t="s">
        <v>2070</v>
      </c>
      <c r="B34" s="2827"/>
      <c r="C34" s="2827"/>
      <c r="D34" s="2827"/>
      <c r="E34" s="2827"/>
      <c r="F34" s="2827"/>
    </row>
    <row r="35" spans="1:6" ht="35.4" customHeight="1">
      <c r="A35" s="2827" t="s">
        <v>1916</v>
      </c>
      <c r="B35" s="2827"/>
      <c r="C35" s="2827"/>
      <c r="D35" s="2827"/>
      <c r="E35" s="2827"/>
      <c r="F35" s="2827"/>
    </row>
    <row r="36" spans="1:6" ht="15" customHeight="1">
      <c r="A36" s="2827" t="s">
        <v>2071</v>
      </c>
      <c r="B36" s="2827"/>
      <c r="C36" s="2827"/>
      <c r="D36" s="2827"/>
      <c r="E36" s="2827"/>
      <c r="F36" s="2827"/>
    </row>
    <row r="37" spans="1:6" ht="15" customHeight="1">
      <c r="A37" s="2807" t="s">
        <v>1917</v>
      </c>
      <c r="B37" s="2807"/>
      <c r="C37" s="2644"/>
      <c r="D37" s="2808" t="s">
        <v>1829</v>
      </c>
      <c r="E37" s="2808"/>
      <c r="F37" s="2808"/>
    </row>
    <row r="38" spans="1:6" ht="32.25" customHeight="1">
      <c r="A38" s="2807"/>
      <c r="B38" s="2807"/>
      <c r="C38" s="2670"/>
      <c r="D38" s="2808"/>
      <c r="E38" s="2808"/>
      <c r="F38" s="2808"/>
    </row>
    <row r="39" spans="1:6" ht="15">
      <c r="A39" s="2807"/>
      <c r="B39" s="2807"/>
      <c r="C39" s="2670"/>
      <c r="D39" s="2808"/>
      <c r="E39" s="2808"/>
      <c r="F39" s="2808"/>
    </row>
    <row r="40" spans="1:6" ht="15">
      <c r="A40" s="2807"/>
      <c r="B40" s="2807"/>
      <c r="C40" s="2670"/>
      <c r="D40" s="2808"/>
      <c r="E40" s="2808"/>
      <c r="F40" s="2808"/>
    </row>
    <row r="41" spans="1:6" ht="15">
      <c r="A41" s="2807"/>
      <c r="B41" s="2807"/>
      <c r="C41" s="2670"/>
      <c r="D41" s="2808"/>
      <c r="E41" s="2808"/>
      <c r="F41" s="2808"/>
    </row>
    <row r="42" spans="1:6" ht="25.5" customHeight="1">
      <c r="A42" s="2804" t="s">
        <v>1525</v>
      </c>
      <c r="B42" s="2804"/>
      <c r="C42" s="2670"/>
      <c r="D42" s="2805" t="s">
        <v>2072</v>
      </c>
      <c r="E42" s="2805"/>
      <c r="F42" s="2805"/>
    </row>
    <row r="43" spans="1:6" ht="15">
      <c r="A43" s="2805" t="s">
        <v>1526</v>
      </c>
      <c r="B43" s="2805"/>
      <c r="C43" s="2670"/>
      <c r="D43" s="2805" t="s">
        <v>1526</v>
      </c>
      <c r="E43" s="2805"/>
      <c r="F43" s="2805"/>
    </row>
    <row r="44" spans="1:6" ht="24.75" customHeight="1">
      <c r="A44" s="2806" t="s">
        <v>944</v>
      </c>
      <c r="B44" s="2806"/>
      <c r="C44" s="2670"/>
      <c r="D44" s="2806" t="s">
        <v>944</v>
      </c>
      <c r="E44" s="2806"/>
      <c r="F44" s="2806"/>
    </row>
    <row r="45" spans="1:6" ht="39" customHeight="1">
      <c r="A45" s="2802" t="s">
        <v>1527</v>
      </c>
      <c r="B45" s="2802"/>
    </row>
    <row r="46" spans="1:6" ht="13.8">
      <c r="A46" s="2644"/>
      <c r="B46" s="2644"/>
      <c r="C46" s="2644"/>
      <c r="D46" s="2644"/>
      <c r="E46" s="2644"/>
      <c r="F46" s="2644"/>
    </row>
    <row r="47" spans="1:6" ht="15">
      <c r="A47" s="2644"/>
      <c r="B47" s="2644"/>
      <c r="C47" s="2670"/>
      <c r="D47" s="2644"/>
      <c r="E47" s="2644"/>
      <c r="F47" s="2644"/>
    </row>
    <row r="48" spans="1:6" ht="15.75" customHeight="1">
      <c r="A48" s="2670"/>
      <c r="B48" s="2670"/>
      <c r="C48" s="2670"/>
      <c r="D48" s="2670"/>
      <c r="E48" s="2670"/>
      <c r="F48" s="2670"/>
    </row>
    <row r="49" spans="1:6" ht="17.399999999999999">
      <c r="A49" s="2803"/>
      <c r="B49" s="2803"/>
      <c r="C49" s="2670"/>
      <c r="D49" s="2670"/>
      <c r="E49" s="2670"/>
      <c r="F49" s="2670"/>
    </row>
    <row r="50" spans="1:6" ht="15">
      <c r="A50" s="2670"/>
      <c r="B50" s="2670"/>
      <c r="C50" s="2670"/>
      <c r="D50" s="2671"/>
      <c r="E50" s="2670"/>
      <c r="F50" s="2670"/>
    </row>
  </sheetData>
  <mergeCells count="28">
    <mergeCell ref="E1:F1"/>
    <mergeCell ref="A2:F2"/>
    <mergeCell ref="A3:F3"/>
    <mergeCell ref="A4:F4"/>
    <mergeCell ref="A6:A7"/>
    <mergeCell ref="B6:B7"/>
    <mergeCell ref="C6:F6"/>
    <mergeCell ref="A37:B41"/>
    <mergeCell ref="D37:F41"/>
    <mergeCell ref="A8:F8"/>
    <mergeCell ref="A9:F9"/>
    <mergeCell ref="A12:F12"/>
    <mergeCell ref="A13:F13"/>
    <mergeCell ref="A16:F16"/>
    <mergeCell ref="A17:F17"/>
    <mergeCell ref="A20:F20"/>
    <mergeCell ref="A30:F30"/>
    <mergeCell ref="A34:F34"/>
    <mergeCell ref="A35:F35"/>
    <mergeCell ref="A36:F36"/>
    <mergeCell ref="A45:B45"/>
    <mergeCell ref="A49:B49"/>
    <mergeCell ref="A42:B42"/>
    <mergeCell ref="D42:F42"/>
    <mergeCell ref="A43:B43"/>
    <mergeCell ref="D43:F43"/>
    <mergeCell ref="A44:B44"/>
    <mergeCell ref="D44:F44"/>
  </mergeCells>
  <printOptions horizontalCentered="1"/>
  <pageMargins left="1.1811023622047245" right="0.39370078740157483" top="0.78740157480314965" bottom="0.19685039370078741" header="0.51181102362204722" footer="0.51181102362204722"/>
  <pageSetup paperSize="9" scale="61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pageSetUpPr fitToPage="1"/>
  </sheetPr>
  <dimension ref="A1:K50"/>
  <sheetViews>
    <sheetView topLeftCell="A11" zoomScale="85" zoomScaleNormal="85" zoomScaleSheetLayoutView="65" workbookViewId="0">
      <selection activeCell="C28" sqref="A28:F30"/>
    </sheetView>
  </sheetViews>
  <sheetFormatPr defaultRowHeight="13.2"/>
  <cols>
    <col min="1" max="1" width="36.6640625" style="2480" customWidth="1"/>
    <col min="2" max="2" width="17.88671875" style="2480" customWidth="1"/>
    <col min="3" max="3" width="19" style="2480" customWidth="1"/>
    <col min="4" max="4" width="18" style="2480" customWidth="1"/>
    <col min="5" max="5" width="17.88671875" style="2480" customWidth="1"/>
    <col min="6" max="6" width="19.33203125" style="2480" customWidth="1"/>
    <col min="7" max="20" width="0" style="2480" hidden="1" customWidth="1"/>
    <col min="21" max="256" width="9.109375" style="2480"/>
    <col min="257" max="257" width="36.6640625" style="2480" customWidth="1"/>
    <col min="258" max="258" width="17.88671875" style="2480" customWidth="1"/>
    <col min="259" max="259" width="19" style="2480" customWidth="1"/>
    <col min="260" max="260" width="18" style="2480" customWidth="1"/>
    <col min="261" max="261" width="17.88671875" style="2480" customWidth="1"/>
    <col min="262" max="262" width="19.33203125" style="2480" customWidth="1"/>
    <col min="263" max="276" width="0" style="2480" hidden="1" customWidth="1"/>
    <col min="277" max="512" width="9.109375" style="2480"/>
    <col min="513" max="513" width="36.6640625" style="2480" customWidth="1"/>
    <col min="514" max="514" width="17.88671875" style="2480" customWidth="1"/>
    <col min="515" max="515" width="19" style="2480" customWidth="1"/>
    <col min="516" max="516" width="18" style="2480" customWidth="1"/>
    <col min="517" max="517" width="17.88671875" style="2480" customWidth="1"/>
    <col min="518" max="518" width="19.33203125" style="2480" customWidth="1"/>
    <col min="519" max="532" width="0" style="2480" hidden="1" customWidth="1"/>
    <col min="533" max="768" width="9.109375" style="2480"/>
    <col min="769" max="769" width="36.6640625" style="2480" customWidth="1"/>
    <col min="770" max="770" width="17.88671875" style="2480" customWidth="1"/>
    <col min="771" max="771" width="19" style="2480" customWidth="1"/>
    <col min="772" max="772" width="18" style="2480" customWidth="1"/>
    <col min="773" max="773" width="17.88671875" style="2480" customWidth="1"/>
    <col min="774" max="774" width="19.33203125" style="2480" customWidth="1"/>
    <col min="775" max="788" width="0" style="2480" hidden="1" customWidth="1"/>
    <col min="789" max="1024" width="9.109375" style="2480"/>
    <col min="1025" max="1025" width="36.6640625" style="2480" customWidth="1"/>
    <col min="1026" max="1026" width="17.88671875" style="2480" customWidth="1"/>
    <col min="1027" max="1027" width="19" style="2480" customWidth="1"/>
    <col min="1028" max="1028" width="18" style="2480" customWidth="1"/>
    <col min="1029" max="1029" width="17.88671875" style="2480" customWidth="1"/>
    <col min="1030" max="1030" width="19.33203125" style="2480" customWidth="1"/>
    <col min="1031" max="1044" width="0" style="2480" hidden="1" customWidth="1"/>
    <col min="1045" max="1280" width="9.109375" style="2480"/>
    <col min="1281" max="1281" width="36.6640625" style="2480" customWidth="1"/>
    <col min="1282" max="1282" width="17.88671875" style="2480" customWidth="1"/>
    <col min="1283" max="1283" width="19" style="2480" customWidth="1"/>
    <col min="1284" max="1284" width="18" style="2480" customWidth="1"/>
    <col min="1285" max="1285" width="17.88671875" style="2480" customWidth="1"/>
    <col min="1286" max="1286" width="19.33203125" style="2480" customWidth="1"/>
    <col min="1287" max="1300" width="0" style="2480" hidden="1" customWidth="1"/>
    <col min="1301" max="1536" width="9.109375" style="2480"/>
    <col min="1537" max="1537" width="36.6640625" style="2480" customWidth="1"/>
    <col min="1538" max="1538" width="17.88671875" style="2480" customWidth="1"/>
    <col min="1539" max="1539" width="19" style="2480" customWidth="1"/>
    <col min="1540" max="1540" width="18" style="2480" customWidth="1"/>
    <col min="1541" max="1541" width="17.88671875" style="2480" customWidth="1"/>
    <col min="1542" max="1542" width="19.33203125" style="2480" customWidth="1"/>
    <col min="1543" max="1556" width="0" style="2480" hidden="1" customWidth="1"/>
    <col min="1557" max="1792" width="9.109375" style="2480"/>
    <col min="1793" max="1793" width="36.6640625" style="2480" customWidth="1"/>
    <col min="1794" max="1794" width="17.88671875" style="2480" customWidth="1"/>
    <col min="1795" max="1795" width="19" style="2480" customWidth="1"/>
    <col min="1796" max="1796" width="18" style="2480" customWidth="1"/>
    <col min="1797" max="1797" width="17.88671875" style="2480" customWidth="1"/>
    <col min="1798" max="1798" width="19.33203125" style="2480" customWidth="1"/>
    <col min="1799" max="1812" width="0" style="2480" hidden="1" customWidth="1"/>
    <col min="1813" max="2048" width="9.109375" style="2480"/>
    <col min="2049" max="2049" width="36.6640625" style="2480" customWidth="1"/>
    <col min="2050" max="2050" width="17.88671875" style="2480" customWidth="1"/>
    <col min="2051" max="2051" width="19" style="2480" customWidth="1"/>
    <col min="2052" max="2052" width="18" style="2480" customWidth="1"/>
    <col min="2053" max="2053" width="17.88671875" style="2480" customWidth="1"/>
    <col min="2054" max="2054" width="19.33203125" style="2480" customWidth="1"/>
    <col min="2055" max="2068" width="0" style="2480" hidden="1" customWidth="1"/>
    <col min="2069" max="2304" width="9.109375" style="2480"/>
    <col min="2305" max="2305" width="36.6640625" style="2480" customWidth="1"/>
    <col min="2306" max="2306" width="17.88671875" style="2480" customWidth="1"/>
    <col min="2307" max="2307" width="19" style="2480" customWidth="1"/>
    <col min="2308" max="2308" width="18" style="2480" customWidth="1"/>
    <col min="2309" max="2309" width="17.88671875" style="2480" customWidth="1"/>
    <col min="2310" max="2310" width="19.33203125" style="2480" customWidth="1"/>
    <col min="2311" max="2324" width="0" style="2480" hidden="1" customWidth="1"/>
    <col min="2325" max="2560" width="9.109375" style="2480"/>
    <col min="2561" max="2561" width="36.6640625" style="2480" customWidth="1"/>
    <col min="2562" max="2562" width="17.88671875" style="2480" customWidth="1"/>
    <col min="2563" max="2563" width="19" style="2480" customWidth="1"/>
    <col min="2564" max="2564" width="18" style="2480" customWidth="1"/>
    <col min="2565" max="2565" width="17.88671875" style="2480" customWidth="1"/>
    <col min="2566" max="2566" width="19.33203125" style="2480" customWidth="1"/>
    <col min="2567" max="2580" width="0" style="2480" hidden="1" customWidth="1"/>
    <col min="2581" max="2816" width="9.109375" style="2480"/>
    <col min="2817" max="2817" width="36.6640625" style="2480" customWidth="1"/>
    <col min="2818" max="2818" width="17.88671875" style="2480" customWidth="1"/>
    <col min="2819" max="2819" width="19" style="2480" customWidth="1"/>
    <col min="2820" max="2820" width="18" style="2480" customWidth="1"/>
    <col min="2821" max="2821" width="17.88671875" style="2480" customWidth="1"/>
    <col min="2822" max="2822" width="19.33203125" style="2480" customWidth="1"/>
    <col min="2823" max="2836" width="0" style="2480" hidden="1" customWidth="1"/>
    <col min="2837" max="3072" width="9.109375" style="2480"/>
    <col min="3073" max="3073" width="36.6640625" style="2480" customWidth="1"/>
    <col min="3074" max="3074" width="17.88671875" style="2480" customWidth="1"/>
    <col min="3075" max="3075" width="19" style="2480" customWidth="1"/>
    <col min="3076" max="3076" width="18" style="2480" customWidth="1"/>
    <col min="3077" max="3077" width="17.88671875" style="2480" customWidth="1"/>
    <col min="3078" max="3078" width="19.33203125" style="2480" customWidth="1"/>
    <col min="3079" max="3092" width="0" style="2480" hidden="1" customWidth="1"/>
    <col min="3093" max="3328" width="9.109375" style="2480"/>
    <col min="3329" max="3329" width="36.6640625" style="2480" customWidth="1"/>
    <col min="3330" max="3330" width="17.88671875" style="2480" customWidth="1"/>
    <col min="3331" max="3331" width="19" style="2480" customWidth="1"/>
    <col min="3332" max="3332" width="18" style="2480" customWidth="1"/>
    <col min="3333" max="3333" width="17.88671875" style="2480" customWidth="1"/>
    <col min="3334" max="3334" width="19.33203125" style="2480" customWidth="1"/>
    <col min="3335" max="3348" width="0" style="2480" hidden="1" customWidth="1"/>
    <col min="3349" max="3584" width="9.109375" style="2480"/>
    <col min="3585" max="3585" width="36.6640625" style="2480" customWidth="1"/>
    <col min="3586" max="3586" width="17.88671875" style="2480" customWidth="1"/>
    <col min="3587" max="3587" width="19" style="2480" customWidth="1"/>
    <col min="3588" max="3588" width="18" style="2480" customWidth="1"/>
    <col min="3589" max="3589" width="17.88671875" style="2480" customWidth="1"/>
    <col min="3590" max="3590" width="19.33203125" style="2480" customWidth="1"/>
    <col min="3591" max="3604" width="0" style="2480" hidden="1" customWidth="1"/>
    <col min="3605" max="3840" width="9.109375" style="2480"/>
    <col min="3841" max="3841" width="36.6640625" style="2480" customWidth="1"/>
    <col min="3842" max="3842" width="17.88671875" style="2480" customWidth="1"/>
    <col min="3843" max="3843" width="19" style="2480" customWidth="1"/>
    <col min="3844" max="3844" width="18" style="2480" customWidth="1"/>
    <col min="3845" max="3845" width="17.88671875" style="2480" customWidth="1"/>
    <col min="3846" max="3846" width="19.33203125" style="2480" customWidth="1"/>
    <col min="3847" max="3860" width="0" style="2480" hidden="1" customWidth="1"/>
    <col min="3861" max="4096" width="9.109375" style="2480"/>
    <col min="4097" max="4097" width="36.6640625" style="2480" customWidth="1"/>
    <col min="4098" max="4098" width="17.88671875" style="2480" customWidth="1"/>
    <col min="4099" max="4099" width="19" style="2480" customWidth="1"/>
    <col min="4100" max="4100" width="18" style="2480" customWidth="1"/>
    <col min="4101" max="4101" width="17.88671875" style="2480" customWidth="1"/>
    <col min="4102" max="4102" width="19.33203125" style="2480" customWidth="1"/>
    <col min="4103" max="4116" width="0" style="2480" hidden="1" customWidth="1"/>
    <col min="4117" max="4352" width="9.109375" style="2480"/>
    <col min="4353" max="4353" width="36.6640625" style="2480" customWidth="1"/>
    <col min="4354" max="4354" width="17.88671875" style="2480" customWidth="1"/>
    <col min="4355" max="4355" width="19" style="2480" customWidth="1"/>
    <col min="4356" max="4356" width="18" style="2480" customWidth="1"/>
    <col min="4357" max="4357" width="17.88671875" style="2480" customWidth="1"/>
    <col min="4358" max="4358" width="19.33203125" style="2480" customWidth="1"/>
    <col min="4359" max="4372" width="0" style="2480" hidden="1" customWidth="1"/>
    <col min="4373" max="4608" width="9.109375" style="2480"/>
    <col min="4609" max="4609" width="36.6640625" style="2480" customWidth="1"/>
    <col min="4610" max="4610" width="17.88671875" style="2480" customWidth="1"/>
    <col min="4611" max="4611" width="19" style="2480" customWidth="1"/>
    <col min="4612" max="4612" width="18" style="2480" customWidth="1"/>
    <col min="4613" max="4613" width="17.88671875" style="2480" customWidth="1"/>
    <col min="4614" max="4614" width="19.33203125" style="2480" customWidth="1"/>
    <col min="4615" max="4628" width="0" style="2480" hidden="1" customWidth="1"/>
    <col min="4629" max="4864" width="9.109375" style="2480"/>
    <col min="4865" max="4865" width="36.6640625" style="2480" customWidth="1"/>
    <col min="4866" max="4866" width="17.88671875" style="2480" customWidth="1"/>
    <col min="4867" max="4867" width="19" style="2480" customWidth="1"/>
    <col min="4868" max="4868" width="18" style="2480" customWidth="1"/>
    <col min="4869" max="4869" width="17.88671875" style="2480" customWidth="1"/>
    <col min="4870" max="4870" width="19.33203125" style="2480" customWidth="1"/>
    <col min="4871" max="4884" width="0" style="2480" hidden="1" customWidth="1"/>
    <col min="4885" max="5120" width="9.109375" style="2480"/>
    <col min="5121" max="5121" width="36.6640625" style="2480" customWidth="1"/>
    <col min="5122" max="5122" width="17.88671875" style="2480" customWidth="1"/>
    <col min="5123" max="5123" width="19" style="2480" customWidth="1"/>
    <col min="5124" max="5124" width="18" style="2480" customWidth="1"/>
    <col min="5125" max="5125" width="17.88671875" style="2480" customWidth="1"/>
    <col min="5126" max="5126" width="19.33203125" style="2480" customWidth="1"/>
    <col min="5127" max="5140" width="0" style="2480" hidden="1" customWidth="1"/>
    <col min="5141" max="5376" width="9.109375" style="2480"/>
    <col min="5377" max="5377" width="36.6640625" style="2480" customWidth="1"/>
    <col min="5378" max="5378" width="17.88671875" style="2480" customWidth="1"/>
    <col min="5379" max="5379" width="19" style="2480" customWidth="1"/>
    <col min="5380" max="5380" width="18" style="2480" customWidth="1"/>
    <col min="5381" max="5381" width="17.88671875" style="2480" customWidth="1"/>
    <col min="5382" max="5382" width="19.33203125" style="2480" customWidth="1"/>
    <col min="5383" max="5396" width="0" style="2480" hidden="1" customWidth="1"/>
    <col min="5397" max="5632" width="9.109375" style="2480"/>
    <col min="5633" max="5633" width="36.6640625" style="2480" customWidth="1"/>
    <col min="5634" max="5634" width="17.88671875" style="2480" customWidth="1"/>
    <col min="5635" max="5635" width="19" style="2480" customWidth="1"/>
    <col min="5636" max="5636" width="18" style="2480" customWidth="1"/>
    <col min="5637" max="5637" width="17.88671875" style="2480" customWidth="1"/>
    <col min="5638" max="5638" width="19.33203125" style="2480" customWidth="1"/>
    <col min="5639" max="5652" width="0" style="2480" hidden="1" customWidth="1"/>
    <col min="5653" max="5888" width="9.109375" style="2480"/>
    <col min="5889" max="5889" width="36.6640625" style="2480" customWidth="1"/>
    <col min="5890" max="5890" width="17.88671875" style="2480" customWidth="1"/>
    <col min="5891" max="5891" width="19" style="2480" customWidth="1"/>
    <col min="5892" max="5892" width="18" style="2480" customWidth="1"/>
    <col min="5893" max="5893" width="17.88671875" style="2480" customWidth="1"/>
    <col min="5894" max="5894" width="19.33203125" style="2480" customWidth="1"/>
    <col min="5895" max="5908" width="0" style="2480" hidden="1" customWidth="1"/>
    <col min="5909" max="6144" width="9.109375" style="2480"/>
    <col min="6145" max="6145" width="36.6640625" style="2480" customWidth="1"/>
    <col min="6146" max="6146" width="17.88671875" style="2480" customWidth="1"/>
    <col min="6147" max="6147" width="19" style="2480" customWidth="1"/>
    <col min="6148" max="6148" width="18" style="2480" customWidth="1"/>
    <col min="6149" max="6149" width="17.88671875" style="2480" customWidth="1"/>
    <col min="6150" max="6150" width="19.33203125" style="2480" customWidth="1"/>
    <col min="6151" max="6164" width="0" style="2480" hidden="1" customWidth="1"/>
    <col min="6165" max="6400" width="9.109375" style="2480"/>
    <col min="6401" max="6401" width="36.6640625" style="2480" customWidth="1"/>
    <col min="6402" max="6402" width="17.88671875" style="2480" customWidth="1"/>
    <col min="6403" max="6403" width="19" style="2480" customWidth="1"/>
    <col min="6404" max="6404" width="18" style="2480" customWidth="1"/>
    <col min="6405" max="6405" width="17.88671875" style="2480" customWidth="1"/>
    <col min="6406" max="6406" width="19.33203125" style="2480" customWidth="1"/>
    <col min="6407" max="6420" width="0" style="2480" hidden="1" customWidth="1"/>
    <col min="6421" max="6656" width="9.109375" style="2480"/>
    <col min="6657" max="6657" width="36.6640625" style="2480" customWidth="1"/>
    <col min="6658" max="6658" width="17.88671875" style="2480" customWidth="1"/>
    <col min="6659" max="6659" width="19" style="2480" customWidth="1"/>
    <col min="6660" max="6660" width="18" style="2480" customWidth="1"/>
    <col min="6661" max="6661" width="17.88671875" style="2480" customWidth="1"/>
    <col min="6662" max="6662" width="19.33203125" style="2480" customWidth="1"/>
    <col min="6663" max="6676" width="0" style="2480" hidden="1" customWidth="1"/>
    <col min="6677" max="6912" width="9.109375" style="2480"/>
    <col min="6913" max="6913" width="36.6640625" style="2480" customWidth="1"/>
    <col min="6914" max="6914" width="17.88671875" style="2480" customWidth="1"/>
    <col min="6915" max="6915" width="19" style="2480" customWidth="1"/>
    <col min="6916" max="6916" width="18" style="2480" customWidth="1"/>
    <col min="6917" max="6917" width="17.88671875" style="2480" customWidth="1"/>
    <col min="6918" max="6918" width="19.33203125" style="2480" customWidth="1"/>
    <col min="6919" max="6932" width="0" style="2480" hidden="1" customWidth="1"/>
    <col min="6933" max="7168" width="9.109375" style="2480"/>
    <col min="7169" max="7169" width="36.6640625" style="2480" customWidth="1"/>
    <col min="7170" max="7170" width="17.88671875" style="2480" customWidth="1"/>
    <col min="7171" max="7171" width="19" style="2480" customWidth="1"/>
    <col min="7172" max="7172" width="18" style="2480" customWidth="1"/>
    <col min="7173" max="7173" width="17.88671875" style="2480" customWidth="1"/>
    <col min="7174" max="7174" width="19.33203125" style="2480" customWidth="1"/>
    <col min="7175" max="7188" width="0" style="2480" hidden="1" customWidth="1"/>
    <col min="7189" max="7424" width="9.109375" style="2480"/>
    <col min="7425" max="7425" width="36.6640625" style="2480" customWidth="1"/>
    <col min="7426" max="7426" width="17.88671875" style="2480" customWidth="1"/>
    <col min="7427" max="7427" width="19" style="2480" customWidth="1"/>
    <col min="7428" max="7428" width="18" style="2480" customWidth="1"/>
    <col min="7429" max="7429" width="17.88671875" style="2480" customWidth="1"/>
    <col min="7430" max="7430" width="19.33203125" style="2480" customWidth="1"/>
    <col min="7431" max="7444" width="0" style="2480" hidden="1" customWidth="1"/>
    <col min="7445" max="7680" width="9.109375" style="2480"/>
    <col min="7681" max="7681" width="36.6640625" style="2480" customWidth="1"/>
    <col min="7682" max="7682" width="17.88671875" style="2480" customWidth="1"/>
    <col min="7683" max="7683" width="19" style="2480" customWidth="1"/>
    <col min="7684" max="7684" width="18" style="2480" customWidth="1"/>
    <col min="7685" max="7685" width="17.88671875" style="2480" customWidth="1"/>
    <col min="7686" max="7686" width="19.33203125" style="2480" customWidth="1"/>
    <col min="7687" max="7700" width="0" style="2480" hidden="1" customWidth="1"/>
    <col min="7701" max="7936" width="9.109375" style="2480"/>
    <col min="7937" max="7937" width="36.6640625" style="2480" customWidth="1"/>
    <col min="7938" max="7938" width="17.88671875" style="2480" customWidth="1"/>
    <col min="7939" max="7939" width="19" style="2480" customWidth="1"/>
    <col min="7940" max="7940" width="18" style="2480" customWidth="1"/>
    <col min="7941" max="7941" width="17.88671875" style="2480" customWidth="1"/>
    <col min="7942" max="7942" width="19.33203125" style="2480" customWidth="1"/>
    <col min="7943" max="7956" width="0" style="2480" hidden="1" customWidth="1"/>
    <col min="7957" max="8192" width="9.109375" style="2480"/>
    <col min="8193" max="8193" width="36.6640625" style="2480" customWidth="1"/>
    <col min="8194" max="8194" width="17.88671875" style="2480" customWidth="1"/>
    <col min="8195" max="8195" width="19" style="2480" customWidth="1"/>
    <col min="8196" max="8196" width="18" style="2480" customWidth="1"/>
    <col min="8197" max="8197" width="17.88671875" style="2480" customWidth="1"/>
    <col min="8198" max="8198" width="19.33203125" style="2480" customWidth="1"/>
    <col min="8199" max="8212" width="0" style="2480" hidden="1" customWidth="1"/>
    <col min="8213" max="8448" width="9.109375" style="2480"/>
    <col min="8449" max="8449" width="36.6640625" style="2480" customWidth="1"/>
    <col min="8450" max="8450" width="17.88671875" style="2480" customWidth="1"/>
    <col min="8451" max="8451" width="19" style="2480" customWidth="1"/>
    <col min="8452" max="8452" width="18" style="2480" customWidth="1"/>
    <col min="8453" max="8453" width="17.88671875" style="2480" customWidth="1"/>
    <col min="8454" max="8454" width="19.33203125" style="2480" customWidth="1"/>
    <col min="8455" max="8468" width="0" style="2480" hidden="1" customWidth="1"/>
    <col min="8469" max="8704" width="9.109375" style="2480"/>
    <col min="8705" max="8705" width="36.6640625" style="2480" customWidth="1"/>
    <col min="8706" max="8706" width="17.88671875" style="2480" customWidth="1"/>
    <col min="8707" max="8707" width="19" style="2480" customWidth="1"/>
    <col min="8708" max="8708" width="18" style="2480" customWidth="1"/>
    <col min="8709" max="8709" width="17.88671875" style="2480" customWidth="1"/>
    <col min="8710" max="8710" width="19.33203125" style="2480" customWidth="1"/>
    <col min="8711" max="8724" width="0" style="2480" hidden="1" customWidth="1"/>
    <col min="8725" max="8960" width="9.109375" style="2480"/>
    <col min="8961" max="8961" width="36.6640625" style="2480" customWidth="1"/>
    <col min="8962" max="8962" width="17.88671875" style="2480" customWidth="1"/>
    <col min="8963" max="8963" width="19" style="2480" customWidth="1"/>
    <col min="8964" max="8964" width="18" style="2480" customWidth="1"/>
    <col min="8965" max="8965" width="17.88671875" style="2480" customWidth="1"/>
    <col min="8966" max="8966" width="19.33203125" style="2480" customWidth="1"/>
    <col min="8967" max="8980" width="0" style="2480" hidden="1" customWidth="1"/>
    <col min="8981" max="9216" width="9.109375" style="2480"/>
    <col min="9217" max="9217" width="36.6640625" style="2480" customWidth="1"/>
    <col min="9218" max="9218" width="17.88671875" style="2480" customWidth="1"/>
    <col min="9219" max="9219" width="19" style="2480" customWidth="1"/>
    <col min="9220" max="9220" width="18" style="2480" customWidth="1"/>
    <col min="9221" max="9221" width="17.88671875" style="2480" customWidth="1"/>
    <col min="9222" max="9222" width="19.33203125" style="2480" customWidth="1"/>
    <col min="9223" max="9236" width="0" style="2480" hidden="1" customWidth="1"/>
    <col min="9237" max="9472" width="9.109375" style="2480"/>
    <col min="9473" max="9473" width="36.6640625" style="2480" customWidth="1"/>
    <col min="9474" max="9474" width="17.88671875" style="2480" customWidth="1"/>
    <col min="9475" max="9475" width="19" style="2480" customWidth="1"/>
    <col min="9476" max="9476" width="18" style="2480" customWidth="1"/>
    <col min="9477" max="9477" width="17.88671875" style="2480" customWidth="1"/>
    <col min="9478" max="9478" width="19.33203125" style="2480" customWidth="1"/>
    <col min="9479" max="9492" width="0" style="2480" hidden="1" customWidth="1"/>
    <col min="9493" max="9728" width="9.109375" style="2480"/>
    <col min="9729" max="9729" width="36.6640625" style="2480" customWidth="1"/>
    <col min="9730" max="9730" width="17.88671875" style="2480" customWidth="1"/>
    <col min="9731" max="9731" width="19" style="2480" customWidth="1"/>
    <col min="9732" max="9732" width="18" style="2480" customWidth="1"/>
    <col min="9733" max="9733" width="17.88671875" style="2480" customWidth="1"/>
    <col min="9734" max="9734" width="19.33203125" style="2480" customWidth="1"/>
    <col min="9735" max="9748" width="0" style="2480" hidden="1" customWidth="1"/>
    <col min="9749" max="9984" width="9.109375" style="2480"/>
    <col min="9985" max="9985" width="36.6640625" style="2480" customWidth="1"/>
    <col min="9986" max="9986" width="17.88671875" style="2480" customWidth="1"/>
    <col min="9987" max="9987" width="19" style="2480" customWidth="1"/>
    <col min="9988" max="9988" width="18" style="2480" customWidth="1"/>
    <col min="9989" max="9989" width="17.88671875" style="2480" customWidth="1"/>
    <col min="9990" max="9990" width="19.33203125" style="2480" customWidth="1"/>
    <col min="9991" max="10004" width="0" style="2480" hidden="1" customWidth="1"/>
    <col min="10005" max="10240" width="9.109375" style="2480"/>
    <col min="10241" max="10241" width="36.6640625" style="2480" customWidth="1"/>
    <col min="10242" max="10242" width="17.88671875" style="2480" customWidth="1"/>
    <col min="10243" max="10243" width="19" style="2480" customWidth="1"/>
    <col min="10244" max="10244" width="18" style="2480" customWidth="1"/>
    <col min="10245" max="10245" width="17.88671875" style="2480" customWidth="1"/>
    <col min="10246" max="10246" width="19.33203125" style="2480" customWidth="1"/>
    <col min="10247" max="10260" width="0" style="2480" hidden="1" customWidth="1"/>
    <col min="10261" max="10496" width="9.109375" style="2480"/>
    <col min="10497" max="10497" width="36.6640625" style="2480" customWidth="1"/>
    <col min="10498" max="10498" width="17.88671875" style="2480" customWidth="1"/>
    <col min="10499" max="10499" width="19" style="2480" customWidth="1"/>
    <col min="10500" max="10500" width="18" style="2480" customWidth="1"/>
    <col min="10501" max="10501" width="17.88671875" style="2480" customWidth="1"/>
    <col min="10502" max="10502" width="19.33203125" style="2480" customWidth="1"/>
    <col min="10503" max="10516" width="0" style="2480" hidden="1" customWidth="1"/>
    <col min="10517" max="10752" width="9.109375" style="2480"/>
    <col min="10753" max="10753" width="36.6640625" style="2480" customWidth="1"/>
    <col min="10754" max="10754" width="17.88671875" style="2480" customWidth="1"/>
    <col min="10755" max="10755" width="19" style="2480" customWidth="1"/>
    <col min="10756" max="10756" width="18" style="2480" customWidth="1"/>
    <col min="10757" max="10757" width="17.88671875" style="2480" customWidth="1"/>
    <col min="10758" max="10758" width="19.33203125" style="2480" customWidth="1"/>
    <col min="10759" max="10772" width="0" style="2480" hidden="1" customWidth="1"/>
    <col min="10773" max="11008" width="9.109375" style="2480"/>
    <col min="11009" max="11009" width="36.6640625" style="2480" customWidth="1"/>
    <col min="11010" max="11010" width="17.88671875" style="2480" customWidth="1"/>
    <col min="11011" max="11011" width="19" style="2480" customWidth="1"/>
    <col min="11012" max="11012" width="18" style="2480" customWidth="1"/>
    <col min="11013" max="11013" width="17.88671875" style="2480" customWidth="1"/>
    <col min="11014" max="11014" width="19.33203125" style="2480" customWidth="1"/>
    <col min="11015" max="11028" width="0" style="2480" hidden="1" customWidth="1"/>
    <col min="11029" max="11264" width="9.109375" style="2480"/>
    <col min="11265" max="11265" width="36.6640625" style="2480" customWidth="1"/>
    <col min="11266" max="11266" width="17.88671875" style="2480" customWidth="1"/>
    <col min="11267" max="11267" width="19" style="2480" customWidth="1"/>
    <col min="11268" max="11268" width="18" style="2480" customWidth="1"/>
    <col min="11269" max="11269" width="17.88671875" style="2480" customWidth="1"/>
    <col min="11270" max="11270" width="19.33203125" style="2480" customWidth="1"/>
    <col min="11271" max="11284" width="0" style="2480" hidden="1" customWidth="1"/>
    <col min="11285" max="11520" width="9.109375" style="2480"/>
    <col min="11521" max="11521" width="36.6640625" style="2480" customWidth="1"/>
    <col min="11522" max="11522" width="17.88671875" style="2480" customWidth="1"/>
    <col min="11523" max="11523" width="19" style="2480" customWidth="1"/>
    <col min="11524" max="11524" width="18" style="2480" customWidth="1"/>
    <col min="11525" max="11525" width="17.88671875" style="2480" customWidth="1"/>
    <col min="11526" max="11526" width="19.33203125" style="2480" customWidth="1"/>
    <col min="11527" max="11540" width="0" style="2480" hidden="1" customWidth="1"/>
    <col min="11541" max="11776" width="9.109375" style="2480"/>
    <col min="11777" max="11777" width="36.6640625" style="2480" customWidth="1"/>
    <col min="11778" max="11778" width="17.88671875" style="2480" customWidth="1"/>
    <col min="11779" max="11779" width="19" style="2480" customWidth="1"/>
    <col min="11780" max="11780" width="18" style="2480" customWidth="1"/>
    <col min="11781" max="11781" width="17.88671875" style="2480" customWidth="1"/>
    <col min="11782" max="11782" width="19.33203125" style="2480" customWidth="1"/>
    <col min="11783" max="11796" width="0" style="2480" hidden="1" customWidth="1"/>
    <col min="11797" max="12032" width="9.109375" style="2480"/>
    <col min="12033" max="12033" width="36.6640625" style="2480" customWidth="1"/>
    <col min="12034" max="12034" width="17.88671875" style="2480" customWidth="1"/>
    <col min="12035" max="12035" width="19" style="2480" customWidth="1"/>
    <col min="12036" max="12036" width="18" style="2480" customWidth="1"/>
    <col min="12037" max="12037" width="17.88671875" style="2480" customWidth="1"/>
    <col min="12038" max="12038" width="19.33203125" style="2480" customWidth="1"/>
    <col min="12039" max="12052" width="0" style="2480" hidden="1" customWidth="1"/>
    <col min="12053" max="12288" width="9.109375" style="2480"/>
    <col min="12289" max="12289" width="36.6640625" style="2480" customWidth="1"/>
    <col min="12290" max="12290" width="17.88671875" style="2480" customWidth="1"/>
    <col min="12291" max="12291" width="19" style="2480" customWidth="1"/>
    <col min="12292" max="12292" width="18" style="2480" customWidth="1"/>
    <col min="12293" max="12293" width="17.88671875" style="2480" customWidth="1"/>
    <col min="12294" max="12294" width="19.33203125" style="2480" customWidth="1"/>
    <col min="12295" max="12308" width="0" style="2480" hidden="1" customWidth="1"/>
    <col min="12309" max="12544" width="9.109375" style="2480"/>
    <col min="12545" max="12545" width="36.6640625" style="2480" customWidth="1"/>
    <col min="12546" max="12546" width="17.88671875" style="2480" customWidth="1"/>
    <col min="12547" max="12547" width="19" style="2480" customWidth="1"/>
    <col min="12548" max="12548" width="18" style="2480" customWidth="1"/>
    <col min="12549" max="12549" width="17.88671875" style="2480" customWidth="1"/>
    <col min="12550" max="12550" width="19.33203125" style="2480" customWidth="1"/>
    <col min="12551" max="12564" width="0" style="2480" hidden="1" customWidth="1"/>
    <col min="12565" max="12800" width="9.109375" style="2480"/>
    <col min="12801" max="12801" width="36.6640625" style="2480" customWidth="1"/>
    <col min="12802" max="12802" width="17.88671875" style="2480" customWidth="1"/>
    <col min="12803" max="12803" width="19" style="2480" customWidth="1"/>
    <col min="12804" max="12804" width="18" style="2480" customWidth="1"/>
    <col min="12805" max="12805" width="17.88671875" style="2480" customWidth="1"/>
    <col min="12806" max="12806" width="19.33203125" style="2480" customWidth="1"/>
    <col min="12807" max="12820" width="0" style="2480" hidden="1" customWidth="1"/>
    <col min="12821" max="13056" width="9.109375" style="2480"/>
    <col min="13057" max="13057" width="36.6640625" style="2480" customWidth="1"/>
    <col min="13058" max="13058" width="17.88671875" style="2480" customWidth="1"/>
    <col min="13059" max="13059" width="19" style="2480" customWidth="1"/>
    <col min="13060" max="13060" width="18" style="2480" customWidth="1"/>
    <col min="13061" max="13061" width="17.88671875" style="2480" customWidth="1"/>
    <col min="13062" max="13062" width="19.33203125" style="2480" customWidth="1"/>
    <col min="13063" max="13076" width="0" style="2480" hidden="1" customWidth="1"/>
    <col min="13077" max="13312" width="9.109375" style="2480"/>
    <col min="13313" max="13313" width="36.6640625" style="2480" customWidth="1"/>
    <col min="13314" max="13314" width="17.88671875" style="2480" customWidth="1"/>
    <col min="13315" max="13315" width="19" style="2480" customWidth="1"/>
    <col min="13316" max="13316" width="18" style="2480" customWidth="1"/>
    <col min="13317" max="13317" width="17.88671875" style="2480" customWidth="1"/>
    <col min="13318" max="13318" width="19.33203125" style="2480" customWidth="1"/>
    <col min="13319" max="13332" width="0" style="2480" hidden="1" customWidth="1"/>
    <col min="13333" max="13568" width="9.109375" style="2480"/>
    <col min="13569" max="13569" width="36.6640625" style="2480" customWidth="1"/>
    <col min="13570" max="13570" width="17.88671875" style="2480" customWidth="1"/>
    <col min="13571" max="13571" width="19" style="2480" customWidth="1"/>
    <col min="13572" max="13572" width="18" style="2480" customWidth="1"/>
    <col min="13573" max="13573" width="17.88671875" style="2480" customWidth="1"/>
    <col min="13574" max="13574" width="19.33203125" style="2480" customWidth="1"/>
    <col min="13575" max="13588" width="0" style="2480" hidden="1" customWidth="1"/>
    <col min="13589" max="13824" width="9.109375" style="2480"/>
    <col min="13825" max="13825" width="36.6640625" style="2480" customWidth="1"/>
    <col min="13826" max="13826" width="17.88671875" style="2480" customWidth="1"/>
    <col min="13827" max="13827" width="19" style="2480" customWidth="1"/>
    <col min="13828" max="13828" width="18" style="2480" customWidth="1"/>
    <col min="13829" max="13829" width="17.88671875" style="2480" customWidth="1"/>
    <col min="13830" max="13830" width="19.33203125" style="2480" customWidth="1"/>
    <col min="13831" max="13844" width="0" style="2480" hidden="1" customWidth="1"/>
    <col min="13845" max="14080" width="9.109375" style="2480"/>
    <col min="14081" max="14081" width="36.6640625" style="2480" customWidth="1"/>
    <col min="14082" max="14082" width="17.88671875" style="2480" customWidth="1"/>
    <col min="14083" max="14083" width="19" style="2480" customWidth="1"/>
    <col min="14084" max="14084" width="18" style="2480" customWidth="1"/>
    <col min="14085" max="14085" width="17.88671875" style="2480" customWidth="1"/>
    <col min="14086" max="14086" width="19.33203125" style="2480" customWidth="1"/>
    <col min="14087" max="14100" width="0" style="2480" hidden="1" customWidth="1"/>
    <col min="14101" max="14336" width="9.109375" style="2480"/>
    <col min="14337" max="14337" width="36.6640625" style="2480" customWidth="1"/>
    <col min="14338" max="14338" width="17.88671875" style="2480" customWidth="1"/>
    <col min="14339" max="14339" width="19" style="2480" customWidth="1"/>
    <col min="14340" max="14340" width="18" style="2480" customWidth="1"/>
    <col min="14341" max="14341" width="17.88671875" style="2480" customWidth="1"/>
    <col min="14342" max="14342" width="19.33203125" style="2480" customWidth="1"/>
    <col min="14343" max="14356" width="0" style="2480" hidden="1" customWidth="1"/>
    <col min="14357" max="14592" width="9.109375" style="2480"/>
    <col min="14593" max="14593" width="36.6640625" style="2480" customWidth="1"/>
    <col min="14594" max="14594" width="17.88671875" style="2480" customWidth="1"/>
    <col min="14595" max="14595" width="19" style="2480" customWidth="1"/>
    <col min="14596" max="14596" width="18" style="2480" customWidth="1"/>
    <col min="14597" max="14597" width="17.88671875" style="2480" customWidth="1"/>
    <col min="14598" max="14598" width="19.33203125" style="2480" customWidth="1"/>
    <col min="14599" max="14612" width="0" style="2480" hidden="1" customWidth="1"/>
    <col min="14613" max="14848" width="9.109375" style="2480"/>
    <col min="14849" max="14849" width="36.6640625" style="2480" customWidth="1"/>
    <col min="14850" max="14850" width="17.88671875" style="2480" customWidth="1"/>
    <col min="14851" max="14851" width="19" style="2480" customWidth="1"/>
    <col min="14852" max="14852" width="18" style="2480" customWidth="1"/>
    <col min="14853" max="14853" width="17.88671875" style="2480" customWidth="1"/>
    <col min="14854" max="14854" width="19.33203125" style="2480" customWidth="1"/>
    <col min="14855" max="14868" width="0" style="2480" hidden="1" customWidth="1"/>
    <col min="14869" max="15104" width="9.109375" style="2480"/>
    <col min="15105" max="15105" width="36.6640625" style="2480" customWidth="1"/>
    <col min="15106" max="15106" width="17.88671875" style="2480" customWidth="1"/>
    <col min="15107" max="15107" width="19" style="2480" customWidth="1"/>
    <col min="15108" max="15108" width="18" style="2480" customWidth="1"/>
    <col min="15109" max="15109" width="17.88671875" style="2480" customWidth="1"/>
    <col min="15110" max="15110" width="19.33203125" style="2480" customWidth="1"/>
    <col min="15111" max="15124" width="0" style="2480" hidden="1" customWidth="1"/>
    <col min="15125" max="15360" width="9.109375" style="2480"/>
    <col min="15361" max="15361" width="36.6640625" style="2480" customWidth="1"/>
    <col min="15362" max="15362" width="17.88671875" style="2480" customWidth="1"/>
    <col min="15363" max="15363" width="19" style="2480" customWidth="1"/>
    <col min="15364" max="15364" width="18" style="2480" customWidth="1"/>
    <col min="15365" max="15365" width="17.88671875" style="2480" customWidth="1"/>
    <col min="15366" max="15366" width="19.33203125" style="2480" customWidth="1"/>
    <col min="15367" max="15380" width="0" style="2480" hidden="1" customWidth="1"/>
    <col min="15381" max="15616" width="9.109375" style="2480"/>
    <col min="15617" max="15617" width="36.6640625" style="2480" customWidth="1"/>
    <col min="15618" max="15618" width="17.88671875" style="2480" customWidth="1"/>
    <col min="15619" max="15619" width="19" style="2480" customWidth="1"/>
    <col min="15620" max="15620" width="18" style="2480" customWidth="1"/>
    <col min="15621" max="15621" width="17.88671875" style="2480" customWidth="1"/>
    <col min="15622" max="15622" width="19.33203125" style="2480" customWidth="1"/>
    <col min="15623" max="15636" width="0" style="2480" hidden="1" customWidth="1"/>
    <col min="15637" max="15872" width="9.109375" style="2480"/>
    <col min="15873" max="15873" width="36.6640625" style="2480" customWidth="1"/>
    <col min="15874" max="15874" width="17.88671875" style="2480" customWidth="1"/>
    <col min="15875" max="15875" width="19" style="2480" customWidth="1"/>
    <col min="15876" max="15876" width="18" style="2480" customWidth="1"/>
    <col min="15877" max="15877" width="17.88671875" style="2480" customWidth="1"/>
    <col min="15878" max="15878" width="19.33203125" style="2480" customWidth="1"/>
    <col min="15879" max="15892" width="0" style="2480" hidden="1" customWidth="1"/>
    <col min="15893" max="16128" width="9.109375" style="2480"/>
    <col min="16129" max="16129" width="36.6640625" style="2480" customWidth="1"/>
    <col min="16130" max="16130" width="17.88671875" style="2480" customWidth="1"/>
    <col min="16131" max="16131" width="19" style="2480" customWidth="1"/>
    <col min="16132" max="16132" width="18" style="2480" customWidth="1"/>
    <col min="16133" max="16133" width="17.88671875" style="2480" customWidth="1"/>
    <col min="16134" max="16134" width="19.33203125" style="2480" customWidth="1"/>
    <col min="16135" max="16148" width="0" style="2480" hidden="1" customWidth="1"/>
    <col min="16149" max="16384" width="9.109375" style="2480"/>
  </cols>
  <sheetData>
    <row r="1" spans="1:11" ht="28.5" customHeight="1">
      <c r="A1" s="2479"/>
      <c r="E1" s="2857"/>
      <c r="F1" s="2857"/>
    </row>
    <row r="2" spans="1:11" ht="23.25" customHeight="1">
      <c r="A2" s="2858" t="s">
        <v>2051</v>
      </c>
      <c r="B2" s="2858"/>
      <c r="C2" s="2858"/>
      <c r="D2" s="2858"/>
      <c r="E2" s="2858"/>
      <c r="F2" s="2858"/>
      <c r="G2" s="2481"/>
    </row>
    <row r="3" spans="1:11" ht="24" customHeight="1">
      <c r="A3" s="2859" t="s">
        <v>1824</v>
      </c>
      <c r="B3" s="2859"/>
      <c r="C3" s="2859"/>
      <c r="D3" s="2859"/>
      <c r="E3" s="2859"/>
      <c r="F3" s="2859"/>
      <c r="G3" s="2481"/>
    </row>
    <row r="4" spans="1:11" ht="16.5" customHeight="1">
      <c r="A4" s="2860" t="s">
        <v>458</v>
      </c>
      <c r="B4" s="2860"/>
      <c r="C4" s="2860"/>
      <c r="D4" s="2860"/>
      <c r="E4" s="2860"/>
      <c r="F4" s="2860"/>
      <c r="G4" s="2481"/>
    </row>
    <row r="5" spans="1:11" ht="31.5" customHeight="1" thickBot="1">
      <c r="A5" s="2645"/>
      <c r="B5" s="2645"/>
      <c r="C5" s="2645"/>
      <c r="D5" s="2645"/>
      <c r="E5" s="2645"/>
      <c r="F5" s="2645"/>
      <c r="G5" s="2481"/>
    </row>
    <row r="6" spans="1:11" ht="24" customHeight="1">
      <c r="A6" s="2861" t="s">
        <v>459</v>
      </c>
      <c r="B6" s="2863" t="s">
        <v>279</v>
      </c>
      <c r="C6" s="2865" t="s">
        <v>461</v>
      </c>
      <c r="D6" s="2866"/>
      <c r="E6" s="2866"/>
      <c r="F6" s="2867"/>
      <c r="G6" s="2482"/>
    </row>
    <row r="7" spans="1:11" ht="45" customHeight="1" thickBot="1">
      <c r="A7" s="2862"/>
      <c r="B7" s="2864"/>
      <c r="C7" s="2483" t="s">
        <v>292</v>
      </c>
      <c r="D7" s="2483" t="s">
        <v>217</v>
      </c>
      <c r="E7" s="2483" t="s">
        <v>218</v>
      </c>
      <c r="F7" s="2484" t="s">
        <v>280</v>
      </c>
      <c r="G7" s="2482"/>
    </row>
    <row r="8" spans="1:11" ht="26.25" customHeight="1">
      <c r="A8" s="2845" t="s">
        <v>1910</v>
      </c>
      <c r="B8" s="2846"/>
      <c r="C8" s="2846"/>
      <c r="D8" s="2846"/>
      <c r="E8" s="2846"/>
      <c r="F8" s="2847"/>
      <c r="G8" s="2485"/>
      <c r="H8" s="2486"/>
    </row>
    <row r="9" spans="1:11" ht="29.25" customHeight="1" thickBot="1">
      <c r="A9" s="2848" t="s">
        <v>467</v>
      </c>
      <c r="B9" s="2849"/>
      <c r="C9" s="2849"/>
      <c r="D9" s="2849"/>
      <c r="E9" s="2849"/>
      <c r="F9" s="2850"/>
      <c r="G9" s="2485"/>
      <c r="H9" s="2486"/>
    </row>
    <row r="10" spans="1:11" s="2494" customFormat="1" ht="37.5" customHeight="1">
      <c r="A10" s="2487" t="s">
        <v>933</v>
      </c>
      <c r="B10" s="2488">
        <v>52.81832</v>
      </c>
      <c r="C10" s="2489"/>
      <c r="D10" s="2490"/>
      <c r="E10" s="2489"/>
      <c r="F10" s="2491">
        <v>52.81832</v>
      </c>
      <c r="G10" s="2492"/>
      <c r="H10" s="2493">
        <v>56.793892473118277</v>
      </c>
      <c r="K10" s="2494">
        <v>56.520884232</v>
      </c>
    </row>
    <row r="11" spans="1:11" s="2494" customFormat="1" ht="34.5" customHeight="1" thickBot="1">
      <c r="A11" s="2495" t="s">
        <v>464</v>
      </c>
      <c r="B11" s="2496">
        <v>8.8030533333333331E-3</v>
      </c>
      <c r="C11" s="2497"/>
      <c r="D11" s="2498"/>
      <c r="E11" s="2497"/>
      <c r="F11" s="2499">
        <v>8.8030533333333331E-3</v>
      </c>
      <c r="G11" s="2492"/>
      <c r="H11" s="2493">
        <v>9.4656487455197138E-3</v>
      </c>
    </row>
    <row r="12" spans="1:11" ht="20.25" customHeight="1">
      <c r="A12" s="2851" t="s">
        <v>934</v>
      </c>
      <c r="B12" s="2852"/>
      <c r="C12" s="2852"/>
      <c r="D12" s="2852"/>
      <c r="E12" s="2852"/>
      <c r="F12" s="2853"/>
      <c r="G12" s="2485"/>
      <c r="H12" s="2486"/>
    </row>
    <row r="13" spans="1:11" s="2494" customFormat="1" ht="29.25" customHeight="1">
      <c r="A13" s="2818" t="s">
        <v>1503</v>
      </c>
      <c r="B13" s="2819"/>
      <c r="C13" s="2819"/>
      <c r="D13" s="2819"/>
      <c r="E13" s="2819"/>
      <c r="F13" s="2820"/>
      <c r="G13" s="2492"/>
      <c r="H13" s="2493"/>
    </row>
    <row r="14" spans="1:11" s="2494" customFormat="1" ht="36.75" customHeight="1">
      <c r="A14" s="2487" t="s">
        <v>933</v>
      </c>
      <c r="B14" s="2501"/>
      <c r="C14" s="2502"/>
      <c r="D14" s="2502"/>
      <c r="E14" s="2502"/>
      <c r="F14" s="2503"/>
      <c r="G14" s="2492"/>
      <c r="H14" s="2493"/>
    </row>
    <row r="15" spans="1:11" s="2494" customFormat="1" ht="27" customHeight="1">
      <c r="A15" s="2505" t="s">
        <v>464</v>
      </c>
      <c r="B15" s="2506"/>
      <c r="C15" s="2506"/>
      <c r="D15" s="2506"/>
      <c r="E15" s="2506"/>
      <c r="F15" s="2544"/>
      <c r="G15" s="2492"/>
      <c r="H15" s="2493"/>
    </row>
    <row r="16" spans="1:11" s="2494" customFormat="1" ht="20.25" customHeight="1">
      <c r="A16" s="2821" t="s">
        <v>934</v>
      </c>
      <c r="B16" s="2822"/>
      <c r="C16" s="2822"/>
      <c r="D16" s="2822"/>
      <c r="E16" s="2822"/>
      <c r="F16" s="2823"/>
      <c r="G16" s="2492"/>
      <c r="H16" s="2493"/>
    </row>
    <row r="17" spans="1:10" s="2494" customFormat="1" ht="31.5" customHeight="1">
      <c r="A17" s="2824" t="s">
        <v>1913</v>
      </c>
      <c r="B17" s="2825"/>
      <c r="C17" s="2825"/>
      <c r="D17" s="2825"/>
      <c r="E17" s="2825"/>
      <c r="F17" s="2826"/>
      <c r="G17" s="2492"/>
      <c r="H17" s="2493"/>
    </row>
    <row r="18" spans="1:10" s="2494" customFormat="1" ht="33.75" customHeight="1">
      <c r="A18" s="2487" t="s">
        <v>933</v>
      </c>
      <c r="B18" s="2507"/>
      <c r="C18" s="2508"/>
      <c r="D18" s="2508"/>
      <c r="E18" s="2509"/>
      <c r="F18" s="2510"/>
      <c r="G18" s="2492"/>
      <c r="H18" s="2493"/>
    </row>
    <row r="19" spans="1:10" s="2494" customFormat="1" ht="27.75" customHeight="1" thickBot="1">
      <c r="A19" s="2513" t="s">
        <v>464</v>
      </c>
      <c r="B19" s="2514"/>
      <c r="C19" s="2515"/>
      <c r="D19" s="2515"/>
      <c r="E19" s="2516"/>
      <c r="F19" s="2517"/>
      <c r="G19" s="2492"/>
      <c r="H19" s="2493"/>
    </row>
    <row r="20" spans="1:10" s="2494" customFormat="1" ht="32.25" customHeight="1">
      <c r="A20" s="2818" t="s">
        <v>1914</v>
      </c>
      <c r="B20" s="2819"/>
      <c r="C20" s="2819"/>
      <c r="D20" s="2819"/>
      <c r="E20" s="2819"/>
      <c r="F20" s="2820"/>
      <c r="G20" s="2493"/>
      <c r="H20" s="2493"/>
    </row>
    <row r="21" spans="1:10" s="2494" customFormat="1" ht="32.25" customHeight="1">
      <c r="A21" s="2505" t="s">
        <v>933</v>
      </c>
      <c r="B21" s="2501">
        <v>52.81832</v>
      </c>
      <c r="C21" s="2518"/>
      <c r="D21" s="2518"/>
      <c r="E21" s="2502"/>
      <c r="F21" s="2519">
        <v>52.81832</v>
      </c>
      <c r="G21" s="2493"/>
      <c r="H21" s="2493"/>
    </row>
    <row r="22" spans="1:10" s="2494" customFormat="1" ht="32.25" customHeight="1" thickBot="1">
      <c r="A22" s="2505" t="s">
        <v>464</v>
      </c>
      <c r="B22" s="2496">
        <v>8.8030533333333331E-3</v>
      </c>
      <c r="C22" s="2520"/>
      <c r="D22" s="2520"/>
      <c r="E22" s="2496"/>
      <c r="F22" s="2521">
        <v>8.8030533333333331E-3</v>
      </c>
      <c r="G22" s="2493"/>
      <c r="H22" s="2493"/>
    </row>
    <row r="23" spans="1:10" s="2494" customFormat="1" ht="32.25" hidden="1" customHeight="1">
      <c r="A23" s="2522" t="s">
        <v>934</v>
      </c>
      <c r="B23" s="2523"/>
      <c r="C23" s="2523"/>
      <c r="D23" s="2523"/>
      <c r="E23" s="2523"/>
      <c r="F23" s="2524"/>
      <c r="G23" s="2493"/>
      <c r="H23" s="2493"/>
    </row>
    <row r="24" spans="1:10" s="2494" customFormat="1" ht="24.75" hidden="1" customHeight="1">
      <c r="A24" s="2525" t="s">
        <v>1508</v>
      </c>
      <c r="B24" s="2644"/>
      <c r="C24" s="2644"/>
      <c r="D24" s="2644"/>
      <c r="E24" s="2644"/>
      <c r="F24" s="2526"/>
      <c r="G24" s="2493"/>
      <c r="H24" s="2493"/>
    </row>
    <row r="25" spans="1:10" s="2494" customFormat="1" ht="33" hidden="1" customHeight="1">
      <c r="A25" s="2505" t="s">
        <v>933</v>
      </c>
      <c r="B25" s="2501">
        <v>52.81832</v>
      </c>
      <c r="C25" s="2518"/>
      <c r="D25" s="2518"/>
      <c r="E25" s="2502">
        <v>0</v>
      </c>
      <c r="F25" s="2503">
        <v>52.81832</v>
      </c>
      <c r="G25" s="2493"/>
      <c r="H25" s="2493"/>
    </row>
    <row r="26" spans="1:10" s="2494" customFormat="1" ht="24.75" hidden="1" customHeight="1">
      <c r="A26" s="2505" t="s">
        <v>464</v>
      </c>
      <c r="B26" s="2496">
        <v>8.8030533333333331E-3</v>
      </c>
      <c r="C26" s="2520"/>
      <c r="D26" s="2520"/>
      <c r="E26" s="2496">
        <v>0</v>
      </c>
      <c r="F26" s="2499">
        <v>8.8030533333333331E-3</v>
      </c>
      <c r="G26" s="2493"/>
      <c r="H26" s="2493"/>
    </row>
    <row r="27" spans="1:10" s="2494" customFormat="1" ht="24.75" hidden="1" customHeight="1">
      <c r="A27" s="2525" t="s">
        <v>1509</v>
      </c>
      <c r="B27" s="2644"/>
      <c r="C27" s="2644"/>
      <c r="D27" s="2644"/>
      <c r="E27" s="2527"/>
      <c r="F27" s="2526"/>
      <c r="G27" s="2493"/>
      <c r="H27" s="2493"/>
    </row>
    <row r="28" spans="1:10" s="2494" customFormat="1" ht="35.25" hidden="1" customHeight="1">
      <c r="A28" s="2505" t="s">
        <v>933</v>
      </c>
      <c r="B28" s="2528">
        <v>0</v>
      </c>
      <c r="C28" s="2529"/>
      <c r="D28" s="2529"/>
      <c r="E28" s="2528">
        <v>0</v>
      </c>
      <c r="F28" s="2545">
        <v>0</v>
      </c>
      <c r="G28" s="2493"/>
      <c r="H28" s="2493"/>
    </row>
    <row r="29" spans="1:10" s="2494" customFormat="1" ht="24.75" hidden="1" customHeight="1" thickBot="1">
      <c r="A29" s="2505" t="s">
        <v>464</v>
      </c>
      <c r="B29" s="2546">
        <v>0</v>
      </c>
      <c r="C29" s="2547"/>
      <c r="D29" s="2547"/>
      <c r="E29" s="2546">
        <v>0</v>
      </c>
      <c r="F29" s="2548">
        <v>0</v>
      </c>
      <c r="G29" s="2493"/>
      <c r="H29" s="2493"/>
    </row>
    <row r="30" spans="1:10" ht="33" customHeight="1" thickBot="1">
      <c r="A30" s="2854" t="s">
        <v>1915</v>
      </c>
      <c r="B30" s="2855"/>
      <c r="C30" s="2855"/>
      <c r="D30" s="2855"/>
      <c r="E30" s="2855"/>
      <c r="F30" s="2856"/>
    </row>
    <row r="31" spans="1:10" ht="28.5" customHeight="1">
      <c r="A31" s="2534" t="s">
        <v>933</v>
      </c>
      <c r="B31" s="2535">
        <v>1416.13</v>
      </c>
      <c r="C31" s="2489"/>
      <c r="D31" s="2536"/>
      <c r="E31" s="2489">
        <v>1416.13</v>
      </c>
      <c r="F31" s="2537"/>
    </row>
    <row r="32" spans="1:10" ht="28.5" customHeight="1" thickBot="1">
      <c r="A32" s="2513" t="s">
        <v>464</v>
      </c>
      <c r="B32" s="2497">
        <v>0.16203000000000001</v>
      </c>
      <c r="C32" s="2497"/>
      <c r="D32" s="2538"/>
      <c r="E32" s="2497">
        <v>0.16203000000000001</v>
      </c>
      <c r="F32" s="2549"/>
      <c r="J32" s="2623">
        <v>8739.9247053014878</v>
      </c>
    </row>
    <row r="33" spans="1:6" ht="17.25" customHeight="1">
      <c r="A33" s="2540"/>
      <c r="B33" s="2541"/>
      <c r="C33" s="2485"/>
      <c r="D33" s="2485"/>
      <c r="E33" s="2542"/>
      <c r="F33" s="2542"/>
    </row>
    <row r="34" spans="1:6" ht="17.25" customHeight="1">
      <c r="A34" s="2827" t="s">
        <v>2066</v>
      </c>
      <c r="B34" s="2827"/>
      <c r="C34" s="2827"/>
      <c r="D34" s="2827"/>
      <c r="E34" s="2827"/>
      <c r="F34" s="2827"/>
    </row>
    <row r="35" spans="1:6" ht="35.4" customHeight="1">
      <c r="A35" s="2827" t="s">
        <v>1916</v>
      </c>
      <c r="B35" s="2827"/>
      <c r="C35" s="2827"/>
      <c r="D35" s="2827"/>
      <c r="E35" s="2827"/>
      <c r="F35" s="2827"/>
    </row>
    <row r="36" spans="1:6" ht="15" customHeight="1">
      <c r="A36" s="2827" t="s">
        <v>2067</v>
      </c>
      <c r="B36" s="2827"/>
      <c r="C36" s="2827"/>
      <c r="D36" s="2827"/>
      <c r="E36" s="2827"/>
      <c r="F36" s="2827"/>
    </row>
    <row r="37" spans="1:6" ht="15" customHeight="1">
      <c r="A37" s="2844" t="s">
        <v>2068</v>
      </c>
      <c r="B37" s="2844"/>
      <c r="C37" s="2644"/>
      <c r="D37" s="2844" t="s">
        <v>1829</v>
      </c>
      <c r="E37" s="2844"/>
      <c r="F37" s="2844"/>
    </row>
    <row r="38" spans="1:6" ht="32.25" customHeight="1">
      <c r="A38" s="2844"/>
      <c r="B38" s="2844"/>
      <c r="C38" s="2543"/>
      <c r="D38" s="2844"/>
      <c r="E38" s="2844"/>
      <c r="F38" s="2844"/>
    </row>
    <row r="39" spans="1:6" ht="15">
      <c r="A39" s="2844"/>
      <c r="B39" s="2844"/>
      <c r="C39" s="2543"/>
      <c r="D39" s="2844"/>
      <c r="E39" s="2844"/>
      <c r="F39" s="2844"/>
    </row>
    <row r="40" spans="1:6" ht="15">
      <c r="A40" s="2844"/>
      <c r="B40" s="2844"/>
      <c r="C40" s="2543"/>
      <c r="D40" s="2844"/>
      <c r="E40" s="2844"/>
      <c r="F40" s="2844"/>
    </row>
    <row r="41" spans="1:6" ht="15">
      <c r="A41" s="2844"/>
      <c r="B41" s="2844"/>
      <c r="C41" s="2543"/>
      <c r="D41" s="2844"/>
      <c r="E41" s="2844"/>
      <c r="F41" s="2844"/>
    </row>
    <row r="42" spans="1:6" ht="25.5" customHeight="1">
      <c r="A42" s="2841" t="s">
        <v>1525</v>
      </c>
      <c r="B42" s="2841"/>
      <c r="C42" s="2543"/>
      <c r="D42" s="2842" t="s">
        <v>2069</v>
      </c>
      <c r="E42" s="2842"/>
      <c r="F42" s="2842"/>
    </row>
    <row r="43" spans="1:6" ht="15">
      <c r="A43" s="2842" t="s">
        <v>1526</v>
      </c>
      <c r="B43" s="2842"/>
      <c r="C43" s="2543"/>
      <c r="D43" s="2842" t="s">
        <v>1526</v>
      </c>
      <c r="E43" s="2842"/>
      <c r="F43" s="2842"/>
    </row>
    <row r="44" spans="1:6" ht="24.75" customHeight="1">
      <c r="A44" s="2843" t="s">
        <v>944</v>
      </c>
      <c r="B44" s="2843"/>
      <c r="C44" s="2543"/>
      <c r="D44" s="2843" t="s">
        <v>944</v>
      </c>
      <c r="E44" s="2843"/>
      <c r="F44" s="2843"/>
    </row>
    <row r="45" spans="1:6" ht="39" customHeight="1">
      <c r="A45" s="2839" t="s">
        <v>1527</v>
      </c>
      <c r="B45" s="2839"/>
    </row>
    <row r="46" spans="1:6" ht="13.8">
      <c r="A46" s="2644"/>
      <c r="B46" s="2644"/>
      <c r="C46" s="2644"/>
      <c r="D46" s="2644"/>
      <c r="E46" s="2644"/>
      <c r="F46" s="2644"/>
    </row>
    <row r="47" spans="1:6" ht="15">
      <c r="A47" s="2644"/>
      <c r="B47" s="2644"/>
      <c r="C47" s="2543"/>
      <c r="D47" s="2644"/>
      <c r="E47" s="2644"/>
      <c r="F47" s="2644"/>
    </row>
    <row r="48" spans="1:6" ht="15.75" customHeight="1">
      <c r="A48" s="2543"/>
      <c r="B48" s="2543"/>
      <c r="C48" s="2543"/>
      <c r="D48" s="2543"/>
      <c r="E48" s="2543"/>
      <c r="F48" s="2543"/>
    </row>
    <row r="49" spans="1:6" ht="17.399999999999999">
      <c r="A49" s="2840"/>
      <c r="B49" s="2840"/>
      <c r="C49" s="2543"/>
      <c r="D49" s="2543"/>
      <c r="E49" s="2543"/>
      <c r="F49" s="2543"/>
    </row>
    <row r="50" spans="1:6" ht="15">
      <c r="A50" s="2543"/>
      <c r="B50" s="2543"/>
      <c r="C50" s="2543"/>
      <c r="D50" s="2643"/>
      <c r="E50" s="2543"/>
      <c r="F50" s="2543"/>
    </row>
  </sheetData>
  <mergeCells count="28">
    <mergeCell ref="E1:F1"/>
    <mergeCell ref="A2:F2"/>
    <mergeCell ref="A3:F3"/>
    <mergeCell ref="A4:F4"/>
    <mergeCell ref="A6:A7"/>
    <mergeCell ref="B6:B7"/>
    <mergeCell ref="C6:F6"/>
    <mergeCell ref="A37:B41"/>
    <mergeCell ref="D37:F41"/>
    <mergeCell ref="A8:F8"/>
    <mergeCell ref="A9:F9"/>
    <mergeCell ref="A12:F12"/>
    <mergeCell ref="A13:F13"/>
    <mergeCell ref="A16:F16"/>
    <mergeCell ref="A17:F17"/>
    <mergeCell ref="A20:F20"/>
    <mergeCell ref="A30:F30"/>
    <mergeCell ref="A34:F34"/>
    <mergeCell ref="A35:F35"/>
    <mergeCell ref="A36:F36"/>
    <mergeCell ref="A45:B45"/>
    <mergeCell ref="A49:B49"/>
    <mergeCell ref="A42:B42"/>
    <mergeCell ref="D42:F42"/>
    <mergeCell ref="A43:B43"/>
    <mergeCell ref="D43:F43"/>
    <mergeCell ref="A44:B44"/>
    <mergeCell ref="D44:F44"/>
  </mergeCells>
  <printOptions horizontalCentered="1"/>
  <pageMargins left="1.1811023622047245" right="0.39370078740157483" top="0.78740157480314965" bottom="0.19685039370078741" header="0.51181102362204722" footer="0.51181102362204722"/>
  <pageSetup paperSize="9" scale="61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7030A0"/>
  </sheetPr>
  <dimension ref="A1:U105"/>
  <sheetViews>
    <sheetView zoomScaleNormal="100" workbookViewId="0">
      <pane ySplit="3" topLeftCell="A4" activePane="bottomLeft" state="frozenSplit"/>
      <selection activeCell="C28" sqref="C28"/>
      <selection pane="bottomLeft" activeCell="C28" sqref="C28"/>
    </sheetView>
  </sheetViews>
  <sheetFormatPr defaultColWidth="9.109375" defaultRowHeight="15.6"/>
  <cols>
    <col min="1" max="1" width="3.33203125" style="17" customWidth="1"/>
    <col min="2" max="2" width="34.88671875" style="17" customWidth="1"/>
    <col min="3" max="3" width="28.44140625" style="17" customWidth="1"/>
    <col min="4" max="4" width="13.5546875" style="17" customWidth="1"/>
    <col min="5" max="5" width="17" style="17" customWidth="1"/>
    <col min="6" max="6" width="17.33203125" style="17" customWidth="1"/>
    <col min="7" max="7" width="12.44140625" style="17" customWidth="1"/>
    <col min="8" max="8" width="16.88671875" style="17" customWidth="1"/>
    <col min="9" max="9" width="16.5546875" style="17" customWidth="1"/>
    <col min="10" max="10" width="19.109375" style="124" customWidth="1"/>
    <col min="11" max="11" width="15.44140625" style="17" customWidth="1"/>
    <col min="12" max="12" width="11.33203125" style="17" bestFit="1" customWidth="1"/>
    <col min="13" max="16384" width="9.109375" style="17"/>
  </cols>
  <sheetData>
    <row r="1" spans="1:11" ht="31.8">
      <c r="A1" s="500" t="s">
        <v>1846</v>
      </c>
      <c r="B1" s="50"/>
      <c r="C1" s="50"/>
      <c r="D1" s="50"/>
      <c r="E1" s="50"/>
      <c r="F1" s="50"/>
      <c r="G1" s="50"/>
      <c r="H1" s="50"/>
      <c r="I1" s="50"/>
      <c r="J1" s="501"/>
      <c r="K1" s="38"/>
    </row>
    <row r="2" spans="1:11" ht="18">
      <c r="A2" s="1862"/>
      <c r="B2" s="2391"/>
      <c r="C2" s="2391"/>
      <c r="D2" s="2391"/>
      <c r="E2" s="2391"/>
      <c r="F2" s="2391"/>
      <c r="G2" s="2391"/>
      <c r="H2" s="2391"/>
      <c r="I2" s="754" t="s">
        <v>848</v>
      </c>
      <c r="J2" s="503"/>
      <c r="K2" s="38"/>
    </row>
    <row r="3" spans="1:11" ht="44.4">
      <c r="A3" s="44" t="s">
        <v>229</v>
      </c>
      <c r="B3" s="504" t="s">
        <v>631</v>
      </c>
      <c r="C3" s="504" t="s">
        <v>1581</v>
      </c>
      <c r="D3" s="504" t="s">
        <v>632</v>
      </c>
      <c r="E3" s="504" t="s">
        <v>633</v>
      </c>
      <c r="F3" s="505" t="s">
        <v>634</v>
      </c>
      <c r="G3" s="504" t="s">
        <v>632</v>
      </c>
      <c r="H3" s="504" t="s">
        <v>246</v>
      </c>
      <c r="I3" s="505" t="s">
        <v>1574</v>
      </c>
      <c r="J3" s="506"/>
      <c r="K3" s="47"/>
    </row>
    <row r="4" spans="1:11">
      <c r="A4" s="1100" t="s">
        <v>1573</v>
      </c>
      <c r="B4" s="1101"/>
      <c r="C4" s="1101"/>
      <c r="D4" s="1101"/>
      <c r="E4" s="1101"/>
      <c r="F4" s="1101"/>
      <c r="G4" s="1101"/>
      <c r="H4" s="1101"/>
      <c r="I4" s="1102"/>
      <c r="J4" s="506"/>
      <c r="K4" s="47"/>
    </row>
    <row r="5" spans="1:11">
      <c r="A5" s="1097" t="s">
        <v>1845</v>
      </c>
      <c r="B5" s="1098"/>
      <c r="C5" s="1098"/>
      <c r="D5" s="1098"/>
      <c r="E5" s="1098"/>
      <c r="F5" s="1098"/>
      <c r="G5" s="1098"/>
      <c r="H5" s="1098"/>
      <c r="I5" s="1099"/>
      <c r="J5" s="506"/>
      <c r="K5" s="47"/>
    </row>
    <row r="6" spans="1:11" s="512" customFormat="1" ht="27" customHeight="1">
      <c r="A6" s="507" t="s">
        <v>76</v>
      </c>
      <c r="B6" s="509" t="s">
        <v>1579</v>
      </c>
      <c r="C6" s="509" t="s">
        <v>1582</v>
      </c>
      <c r="D6" s="1867">
        <v>41471</v>
      </c>
      <c r="E6" s="509" t="s">
        <v>1580</v>
      </c>
      <c r="F6" s="517">
        <v>70895.58</v>
      </c>
      <c r="G6" s="1867">
        <v>41499</v>
      </c>
      <c r="H6" s="509" t="s">
        <v>1594</v>
      </c>
      <c r="I6" s="517">
        <v>70895.58</v>
      </c>
      <c r="J6" s="520"/>
      <c r="K6" s="511"/>
    </row>
    <row r="7" spans="1:11" s="512" customFormat="1" ht="20.25" customHeight="1">
      <c r="A7" s="507" t="s">
        <v>77</v>
      </c>
      <c r="B7" s="509"/>
      <c r="C7" s="509" t="s">
        <v>1584</v>
      </c>
      <c r="D7" s="1867">
        <v>41523</v>
      </c>
      <c r="E7" s="509" t="s">
        <v>1583</v>
      </c>
      <c r="F7" s="517">
        <v>4705.4399999999996</v>
      </c>
      <c r="G7" s="1867">
        <v>41534</v>
      </c>
      <c r="H7" s="219" t="s">
        <v>1595</v>
      </c>
      <c r="I7" s="517">
        <v>4705.4399999999996</v>
      </c>
      <c r="J7" s="510"/>
      <c r="K7" s="511"/>
    </row>
    <row r="8" spans="1:11" s="512" customFormat="1" ht="20.25" customHeight="1">
      <c r="A8" s="515"/>
      <c r="B8" s="509"/>
      <c r="C8" s="509" t="s">
        <v>1605</v>
      </c>
      <c r="D8" s="1867">
        <v>41544</v>
      </c>
      <c r="E8" s="509" t="s">
        <v>1702</v>
      </c>
      <c r="F8" s="517">
        <v>171509.69</v>
      </c>
      <c r="G8" s="1867">
        <v>41523</v>
      </c>
      <c r="H8" s="219" t="s">
        <v>1604</v>
      </c>
      <c r="I8" s="517">
        <v>171509.69</v>
      </c>
      <c r="J8" s="510"/>
      <c r="K8" s="511"/>
    </row>
    <row r="9" spans="1:11" s="512" customFormat="1" ht="20.25" customHeight="1">
      <c r="A9" s="515"/>
      <c r="B9" s="509"/>
      <c r="C9" s="509" t="s">
        <v>1606</v>
      </c>
      <c r="D9" s="1867">
        <v>41506</v>
      </c>
      <c r="E9" s="509" t="s">
        <v>1705</v>
      </c>
      <c r="F9" s="517">
        <v>13336.24</v>
      </c>
      <c r="G9" s="1867">
        <v>41523</v>
      </c>
      <c r="H9" s="219" t="s">
        <v>1607</v>
      </c>
      <c r="I9" s="517">
        <v>171509.69</v>
      </c>
      <c r="J9" s="510"/>
      <c r="K9" s="511"/>
    </row>
    <row r="10" spans="1:11" s="512" customFormat="1" ht="20.25" customHeight="1">
      <c r="A10" s="515"/>
      <c r="B10" s="509"/>
      <c r="C10" s="509" t="s">
        <v>1586</v>
      </c>
      <c r="D10" s="1867">
        <v>41508</v>
      </c>
      <c r="E10" s="509" t="s">
        <v>1704</v>
      </c>
      <c r="F10" s="517">
        <v>505825.11</v>
      </c>
      <c r="G10" s="1867">
        <v>41523</v>
      </c>
      <c r="H10" s="219" t="s">
        <v>1602</v>
      </c>
      <c r="I10" s="517">
        <v>505825.11</v>
      </c>
      <c r="J10" s="510"/>
      <c r="K10" s="511"/>
    </row>
    <row r="11" spans="1:11" s="512" customFormat="1" ht="20.25" customHeight="1">
      <c r="A11" s="515"/>
      <c r="B11" s="509"/>
      <c r="C11" s="509" t="s">
        <v>1586</v>
      </c>
      <c r="D11" s="1867">
        <v>41544</v>
      </c>
      <c r="E11" s="509" t="s">
        <v>1703</v>
      </c>
      <c r="F11" s="517">
        <v>133894.6</v>
      </c>
      <c r="G11" s="1867">
        <v>41523</v>
      </c>
      <c r="H11" s="219" t="s">
        <v>1603</v>
      </c>
      <c r="I11" s="517">
        <v>133894.6</v>
      </c>
      <c r="J11" s="510"/>
      <c r="K11" s="511"/>
    </row>
    <row r="12" spans="1:11" s="512" customFormat="1" ht="20.25" customHeight="1">
      <c r="A12" s="515" t="s">
        <v>78</v>
      </c>
      <c r="B12" s="509"/>
      <c r="C12" s="509" t="s">
        <v>1586</v>
      </c>
      <c r="D12" s="1867">
        <v>41541</v>
      </c>
      <c r="E12" s="509" t="s">
        <v>1585</v>
      </c>
      <c r="F12" s="517">
        <v>16413.8</v>
      </c>
      <c r="G12" s="1867">
        <v>41563</v>
      </c>
      <c r="H12" s="219" t="s">
        <v>1596</v>
      </c>
      <c r="I12" s="517">
        <v>16413.8</v>
      </c>
      <c r="J12" s="520">
        <f>SUM(F7:F12)</f>
        <v>845684.88</v>
      </c>
      <c r="K12" s="511">
        <f>J12-I7</f>
        <v>840979.44000000006</v>
      </c>
    </row>
    <row r="13" spans="1:11" s="512" customFormat="1" ht="20.25" customHeight="1">
      <c r="A13" s="507" t="s">
        <v>79</v>
      </c>
      <c r="B13" s="509"/>
      <c r="C13" s="509" t="s">
        <v>1588</v>
      </c>
      <c r="D13" s="1867">
        <v>41621</v>
      </c>
      <c r="E13" s="509" t="s">
        <v>1587</v>
      </c>
      <c r="F13" s="517">
        <v>4958.83</v>
      </c>
      <c r="G13" s="1867">
        <v>41634</v>
      </c>
      <c r="H13" s="509" t="s">
        <v>1597</v>
      </c>
      <c r="I13" s="517">
        <v>4958.83</v>
      </c>
      <c r="J13" s="510"/>
      <c r="K13" s="511"/>
    </row>
    <row r="14" spans="1:11" s="512" customFormat="1" ht="20.25" customHeight="1">
      <c r="A14" s="515" t="s">
        <v>80</v>
      </c>
      <c r="B14" s="509" t="s">
        <v>1376</v>
      </c>
      <c r="C14" s="509" t="s">
        <v>1590</v>
      </c>
      <c r="D14" s="1867">
        <v>41389</v>
      </c>
      <c r="E14" s="509" t="s">
        <v>1589</v>
      </c>
      <c r="F14" s="517">
        <v>77541.789999999994</v>
      </c>
      <c r="G14" s="1867">
        <v>41367</v>
      </c>
      <c r="H14" s="509" t="s">
        <v>1593</v>
      </c>
      <c r="I14" s="517">
        <v>77541.789999999994</v>
      </c>
      <c r="J14" s="520"/>
      <c r="K14" s="511"/>
    </row>
    <row r="15" spans="1:11" s="512" customFormat="1" ht="27">
      <c r="A15" s="515" t="s">
        <v>81</v>
      </c>
      <c r="B15" s="509" t="s">
        <v>1591</v>
      </c>
      <c r="C15" s="509" t="s">
        <v>1582</v>
      </c>
      <c r="D15" s="1867">
        <v>41358</v>
      </c>
      <c r="E15" s="509" t="s">
        <v>1592</v>
      </c>
      <c r="F15" s="517">
        <v>17300.28</v>
      </c>
      <c r="G15" s="2877"/>
      <c r="H15" s="2872"/>
      <c r="I15" s="2874"/>
      <c r="K15" s="511"/>
    </row>
    <row r="16" spans="1:11" s="512" customFormat="1" ht="20.25" customHeight="1">
      <c r="A16" s="515" t="s">
        <v>82</v>
      </c>
      <c r="B16" s="509"/>
      <c r="C16" s="509"/>
      <c r="D16" s="2394"/>
      <c r="E16" s="509"/>
      <c r="F16" s="517"/>
      <c r="G16" s="2878"/>
      <c r="H16" s="2880"/>
      <c r="I16" s="2881"/>
      <c r="J16" s="520"/>
      <c r="K16" s="510"/>
    </row>
    <row r="17" spans="1:11" s="512" customFormat="1" ht="20.25" customHeight="1">
      <c r="A17" s="515" t="s">
        <v>83</v>
      </c>
      <c r="B17" s="509"/>
      <c r="C17" s="509"/>
      <c r="D17" s="2394"/>
      <c r="E17" s="509"/>
      <c r="F17" s="517"/>
      <c r="G17" s="2879"/>
      <c r="H17" s="2873"/>
      <c r="I17" s="2875"/>
      <c r="J17" s="520">
        <f>SUM(F15:F17)</f>
        <v>17300.28</v>
      </c>
      <c r="K17" s="511"/>
    </row>
    <row r="18" spans="1:11" s="512" customFormat="1" ht="20.25" hidden="1" customHeight="1">
      <c r="A18" s="515"/>
      <c r="B18" s="2393"/>
      <c r="C18" s="1104"/>
      <c r="D18" s="2391"/>
      <c r="E18" s="1104"/>
      <c r="F18" s="1105"/>
      <c r="G18" s="2391"/>
      <c r="H18" s="1104"/>
      <c r="I18" s="1105"/>
      <c r="J18" s="520"/>
      <c r="K18" s="511"/>
    </row>
    <row r="19" spans="1:11" s="512" customFormat="1" ht="20.25" hidden="1" customHeight="1">
      <c r="A19" s="515"/>
      <c r="B19" s="2393"/>
      <c r="C19" s="1104"/>
      <c r="D19" s="2391"/>
      <c r="E19" s="1104"/>
      <c r="F19" s="2391"/>
      <c r="G19" s="2391"/>
      <c r="H19" s="1104"/>
      <c r="I19" s="1105"/>
      <c r="J19" s="520"/>
      <c r="K19" s="520"/>
    </row>
    <row r="20" spans="1:11" s="512" customFormat="1" ht="20.25" hidden="1" customHeight="1">
      <c r="A20" s="507"/>
      <c r="B20" s="2393"/>
      <c r="C20" s="1104"/>
      <c r="D20" s="2391"/>
      <c r="E20" s="1104"/>
      <c r="F20" s="2391"/>
      <c r="G20" s="2391"/>
      <c r="H20" s="1104"/>
      <c r="I20" s="2391"/>
      <c r="J20" s="520"/>
      <c r="K20" s="511"/>
    </row>
    <row r="21" spans="1:11" s="512" customFormat="1" ht="19.5" hidden="1" customHeight="1">
      <c r="A21" s="507"/>
      <c r="B21" s="2393"/>
      <c r="C21" s="1104"/>
      <c r="D21" s="2391"/>
      <c r="E21" s="1104"/>
      <c r="F21" s="1105"/>
      <c r="G21" s="2391"/>
      <c r="H21" s="1104"/>
      <c r="I21" s="1105"/>
      <c r="J21" s="520"/>
      <c r="K21" s="511"/>
    </row>
    <row r="22" spans="1:11" s="512" customFormat="1" ht="19.5" hidden="1" customHeight="1">
      <c r="A22" s="507"/>
      <c r="B22" s="2393"/>
      <c r="C22" s="1104"/>
      <c r="D22" s="2391"/>
      <c r="E22" s="1104"/>
      <c r="F22" s="1105"/>
      <c r="G22" s="2391"/>
      <c r="H22" s="1104"/>
      <c r="I22" s="1105"/>
      <c r="J22" s="520"/>
      <c r="K22" s="511"/>
    </row>
    <row r="23" spans="1:11" s="512" customFormat="1" ht="19.5" hidden="1" customHeight="1">
      <c r="A23" s="507"/>
      <c r="B23" s="2393"/>
      <c r="C23" s="1104"/>
      <c r="D23" s="2391"/>
      <c r="E23" s="1104"/>
      <c r="F23" s="1105"/>
      <c r="G23" s="2391"/>
      <c r="H23" s="1104"/>
      <c r="I23" s="1105"/>
      <c r="J23" s="520"/>
      <c r="K23" s="511"/>
    </row>
    <row r="24" spans="1:11" s="512" customFormat="1" ht="19.5" hidden="1" customHeight="1">
      <c r="A24" s="507"/>
      <c r="B24" s="2393"/>
      <c r="C24" s="1104"/>
      <c r="D24" s="2391"/>
      <c r="E24" s="1104"/>
      <c r="F24" s="1105"/>
      <c r="G24" s="2391"/>
      <c r="H24" s="1104"/>
      <c r="I24" s="1105"/>
      <c r="J24" s="520"/>
      <c r="K24" s="511"/>
    </row>
    <row r="25" spans="1:11" s="512" customFormat="1" ht="19.5" hidden="1" customHeight="1">
      <c r="A25" s="507"/>
      <c r="B25" s="2393"/>
      <c r="C25" s="1104"/>
      <c r="D25" s="1103"/>
      <c r="E25" s="1104"/>
      <c r="F25" s="1105"/>
      <c r="G25" s="2391"/>
      <c r="H25" s="1104"/>
      <c r="I25" s="1105"/>
      <c r="J25" s="520"/>
      <c r="K25" s="511"/>
    </row>
    <row r="26" spans="1:11" s="512" customFormat="1" ht="19.5" hidden="1" customHeight="1">
      <c r="A26" s="507"/>
      <c r="B26" s="871"/>
      <c r="C26" s="1104"/>
      <c r="D26" s="1103"/>
      <c r="E26" s="1104"/>
      <c r="F26" s="1105"/>
      <c r="G26" s="2391"/>
      <c r="H26" s="1104"/>
      <c r="I26" s="1105"/>
      <c r="J26" s="520"/>
      <c r="K26" s="511"/>
    </row>
    <row r="27" spans="1:11" s="512" customFormat="1" ht="19.5" hidden="1" customHeight="1">
      <c r="A27" s="507"/>
      <c r="B27" s="2392"/>
      <c r="C27" s="509"/>
      <c r="D27" s="870"/>
      <c r="E27" s="509"/>
      <c r="F27" s="517"/>
      <c r="G27" s="2391"/>
      <c r="H27" s="509"/>
      <c r="I27" s="517"/>
      <c r="J27" s="520">
        <f>SUM(F23:F27)</f>
        <v>0</v>
      </c>
      <c r="K27" s="511"/>
    </row>
    <row r="28" spans="1:11" s="512" customFormat="1" ht="19.5" hidden="1" customHeight="1">
      <c r="A28" s="507"/>
      <c r="B28" s="2392"/>
      <c r="C28" s="509"/>
      <c r="D28" s="870"/>
      <c r="E28" s="509"/>
      <c r="F28" s="517"/>
      <c r="G28" s="2391"/>
      <c r="H28" s="509"/>
      <c r="I28" s="517"/>
      <c r="J28" s="520">
        <f>SUM(F24:F28)</f>
        <v>0</v>
      </c>
      <c r="K28" s="511"/>
    </row>
    <row r="29" spans="1:11" s="512" customFormat="1" ht="19.5" hidden="1" customHeight="1">
      <c r="A29" s="507"/>
      <c r="B29" s="2392"/>
      <c r="C29" s="509"/>
      <c r="D29" s="870"/>
      <c r="E29" s="509"/>
      <c r="F29" s="517"/>
      <c r="G29" s="2391"/>
      <c r="H29" s="509"/>
      <c r="I29" s="517"/>
      <c r="J29" s="520">
        <f>SUM(F25:F29)</f>
        <v>0</v>
      </c>
      <c r="K29" s="511"/>
    </row>
    <row r="30" spans="1:11">
      <c r="A30" s="514" t="s">
        <v>158</v>
      </c>
      <c r="B30" s="516"/>
      <c r="C30" s="513"/>
      <c r="D30" s="508"/>
      <c r="E30" s="513"/>
      <c r="F30" s="519">
        <f>SUM(F6:F29)</f>
        <v>1016381.3600000001</v>
      </c>
      <c r="G30" s="1629"/>
      <c r="H30" s="2395"/>
      <c r="I30" s="519">
        <f>SUM(I6:I29)</f>
        <v>1157254.5300000003</v>
      </c>
      <c r="J30" s="2391"/>
      <c r="K30" s="47"/>
    </row>
    <row r="31" spans="1:11" ht="36" hidden="1" customHeight="1">
      <c r="A31" s="1107" t="s">
        <v>1043</v>
      </c>
      <c r="B31" s="522"/>
      <c r="C31" s="524"/>
      <c r="D31" s="523"/>
      <c r="E31" s="524"/>
      <c r="F31" s="525"/>
      <c r="G31" s="42"/>
      <c r="H31" s="42"/>
      <c r="I31" s="525"/>
      <c r="J31" s="506"/>
      <c r="K31" s="47"/>
    </row>
    <row r="32" spans="1:11" s="94" customFormat="1">
      <c r="A32" s="443" t="s">
        <v>1575</v>
      </c>
      <c r="K32" s="873"/>
    </row>
    <row r="33" spans="1:12" ht="18.75" hidden="1" customHeight="1">
      <c r="A33" s="443" t="s">
        <v>1598</v>
      </c>
      <c r="B33" s="522"/>
      <c r="C33" s="524"/>
      <c r="D33" s="523"/>
      <c r="E33" s="524"/>
      <c r="F33" s="525"/>
      <c r="G33" s="42"/>
      <c r="H33" s="42"/>
      <c r="I33" s="525"/>
      <c r="J33" s="506"/>
      <c r="K33" s="47"/>
    </row>
    <row r="34" spans="1:12" ht="18.75" hidden="1" customHeight="1">
      <c r="A34" s="443" t="s">
        <v>1576</v>
      </c>
      <c r="B34" s="522"/>
      <c r="C34" s="524"/>
      <c r="D34" s="523"/>
      <c r="E34" s="524"/>
      <c r="F34" s="525"/>
      <c r="G34" s="42"/>
      <c r="H34" s="42"/>
      <c r="I34" s="525"/>
      <c r="J34" s="506"/>
      <c r="K34" s="47"/>
    </row>
    <row r="35" spans="1:12" s="1861" customFormat="1" hidden="1">
      <c r="A35" s="1863" t="s">
        <v>1577</v>
      </c>
      <c r="K35" s="1864"/>
    </row>
    <row r="36" spans="1:12" s="1880" customFormat="1" ht="22.5" customHeight="1">
      <c r="A36" s="1879" t="s">
        <v>1608</v>
      </c>
      <c r="F36" s="1881">
        <f>$I$30/1000</f>
        <v>1157.2545300000002</v>
      </c>
      <c r="G36" s="1882" t="s">
        <v>868</v>
      </c>
      <c r="K36" s="1883"/>
    </row>
    <row r="37" spans="1:12" s="1880" customFormat="1" ht="18">
      <c r="A37" s="1880" t="s">
        <v>1839</v>
      </c>
      <c r="J37" s="1884"/>
    </row>
    <row r="38" spans="1:12" s="1880" customFormat="1" ht="13.5" customHeight="1">
      <c r="C38" s="1817" t="s">
        <v>1840</v>
      </c>
      <c r="D38" s="1888">
        <f>$F$36*1.079</f>
        <v>1248.6776378700001</v>
      </c>
      <c r="E38" s="1882" t="s">
        <v>84</v>
      </c>
      <c r="J38" s="1884"/>
    </row>
    <row r="39" spans="1:12" s="94" customFormat="1">
      <c r="B39" s="872"/>
      <c r="C39" s="108"/>
      <c r="D39" s="1106"/>
      <c r="E39" s="108"/>
      <c r="J39" s="167"/>
    </row>
    <row r="40" spans="1:12" ht="44.4" hidden="1">
      <c r="A40" s="44" t="s">
        <v>229</v>
      </c>
      <c r="B40" s="504" t="s">
        <v>631</v>
      </c>
      <c r="C40" s="504" t="s">
        <v>633</v>
      </c>
      <c r="D40" s="504" t="s">
        <v>632</v>
      </c>
      <c r="E40" s="504" t="s">
        <v>633</v>
      </c>
      <c r="F40" s="505" t="s">
        <v>634</v>
      </c>
      <c r="G40" s="504" t="s">
        <v>632</v>
      </c>
      <c r="H40" s="504" t="s">
        <v>246</v>
      </c>
      <c r="I40" s="505" t="s">
        <v>635</v>
      </c>
      <c r="J40" s="506"/>
      <c r="K40" s="47"/>
    </row>
    <row r="41" spans="1:12" hidden="1">
      <c r="A41" s="1100" t="s">
        <v>983</v>
      </c>
      <c r="B41" s="1101"/>
      <c r="C41" s="1101"/>
      <c r="D41" s="1101"/>
      <c r="E41" s="1101"/>
      <c r="F41" s="1101"/>
      <c r="G41" s="1101"/>
      <c r="H41" s="1101"/>
      <c r="I41" s="1102"/>
      <c r="J41" s="506"/>
      <c r="K41" s="47"/>
    </row>
    <row r="42" spans="1:12" hidden="1">
      <c r="A42" s="1097" t="s">
        <v>849</v>
      </c>
      <c r="B42" s="1098"/>
      <c r="C42" s="1098"/>
      <c r="D42" s="1098"/>
      <c r="E42" s="1098"/>
      <c r="F42" s="1098"/>
      <c r="G42" s="1098"/>
      <c r="H42" s="1098"/>
      <c r="I42" s="1099"/>
      <c r="J42" s="506"/>
      <c r="K42" s="47"/>
    </row>
    <row r="43" spans="1:12" s="512" customFormat="1" ht="19.5" hidden="1" customHeight="1">
      <c r="A43" s="507" t="s">
        <v>76</v>
      </c>
      <c r="B43" s="2882" t="s">
        <v>984</v>
      </c>
      <c r="C43" s="509" t="s">
        <v>1040</v>
      </c>
      <c r="D43" s="870" t="s">
        <v>985</v>
      </c>
      <c r="E43" s="509" t="s">
        <v>1040</v>
      </c>
      <c r="F43" s="517">
        <v>15642.8</v>
      </c>
      <c r="G43" s="870" t="s">
        <v>1062</v>
      </c>
      <c r="H43" s="509">
        <v>68</v>
      </c>
      <c r="I43" s="517">
        <v>37678.5</v>
      </c>
      <c r="J43" s="520"/>
      <c r="K43" s="511"/>
    </row>
    <row r="44" spans="1:12" s="512" customFormat="1" ht="19.5" hidden="1" customHeight="1">
      <c r="A44" s="507" t="s">
        <v>77</v>
      </c>
      <c r="B44" s="2883"/>
      <c r="C44" s="509" t="s">
        <v>988</v>
      </c>
      <c r="D44" s="870" t="s">
        <v>987</v>
      </c>
      <c r="E44" s="509" t="s">
        <v>988</v>
      </c>
      <c r="F44" s="517">
        <v>20392.5</v>
      </c>
      <c r="G44" s="870" t="s">
        <v>1063</v>
      </c>
      <c r="H44" s="509">
        <v>98</v>
      </c>
      <c r="I44" s="517">
        <v>3180</v>
      </c>
      <c r="J44" s="520"/>
      <c r="K44" s="520">
        <f>SUM(F43:F44)</f>
        <v>36035.300000000003</v>
      </c>
      <c r="L44" s="520">
        <f>SUM(I43:I44)</f>
        <v>40858.5</v>
      </c>
    </row>
    <row r="45" spans="1:12" s="512" customFormat="1" ht="20.25" hidden="1" customHeight="1">
      <c r="A45" s="515" t="s">
        <v>78</v>
      </c>
      <c r="B45" s="2884"/>
      <c r="C45" s="509" t="s">
        <v>990</v>
      </c>
      <c r="D45" s="870" t="s">
        <v>989</v>
      </c>
      <c r="E45" s="509" t="s">
        <v>990</v>
      </c>
      <c r="F45" s="517">
        <v>24197</v>
      </c>
      <c r="G45" s="870" t="s">
        <v>1065</v>
      </c>
      <c r="H45" s="509">
        <v>119</v>
      </c>
      <c r="I45" s="517">
        <v>24197</v>
      </c>
      <c r="J45" s="510"/>
      <c r="K45" s="511"/>
    </row>
    <row r="46" spans="1:12" s="512" customFormat="1" ht="20.25" hidden="1" customHeight="1">
      <c r="A46" s="507" t="s">
        <v>79</v>
      </c>
      <c r="B46" s="2884"/>
      <c r="C46" s="509" t="s">
        <v>992</v>
      </c>
      <c r="D46" s="870" t="s">
        <v>991</v>
      </c>
      <c r="E46" s="509" t="s">
        <v>992</v>
      </c>
      <c r="F46" s="517">
        <v>6850</v>
      </c>
      <c r="G46" s="870" t="s">
        <v>1067</v>
      </c>
      <c r="H46" s="509">
        <v>231</v>
      </c>
      <c r="I46" s="517">
        <v>6850</v>
      </c>
      <c r="J46" s="520"/>
      <c r="K46" s="511"/>
    </row>
    <row r="47" spans="1:12" s="512" customFormat="1" ht="20.25" hidden="1" customHeight="1">
      <c r="A47" s="515" t="s">
        <v>80</v>
      </c>
      <c r="B47" s="2884"/>
      <c r="C47" s="509" t="s">
        <v>994</v>
      </c>
      <c r="D47" s="870" t="s">
        <v>993</v>
      </c>
      <c r="E47" s="509" t="s">
        <v>994</v>
      </c>
      <c r="F47" s="517">
        <v>78415.88</v>
      </c>
      <c r="G47" s="2870" t="s">
        <v>1064</v>
      </c>
      <c r="H47" s="2872">
        <v>196</v>
      </c>
      <c r="I47" s="2874">
        <v>86085.88</v>
      </c>
      <c r="J47" s="510"/>
      <c r="K47" s="511"/>
    </row>
    <row r="48" spans="1:12" s="512" customFormat="1" ht="20.25" hidden="1" customHeight="1">
      <c r="A48" s="515" t="s">
        <v>81</v>
      </c>
      <c r="B48" s="2884"/>
      <c r="C48" s="509" t="s">
        <v>995</v>
      </c>
      <c r="D48" s="870" t="s">
        <v>993</v>
      </c>
      <c r="E48" s="509" t="s">
        <v>995</v>
      </c>
      <c r="F48" s="517">
        <v>7670</v>
      </c>
      <c r="G48" s="2871"/>
      <c r="H48" s="2873"/>
      <c r="I48" s="2875"/>
      <c r="J48" s="520"/>
      <c r="K48" s="520">
        <f>SUM(F47:F48)</f>
        <v>86085.88</v>
      </c>
      <c r="L48" s="520">
        <f>SUM(I47)</f>
        <v>86085.88</v>
      </c>
    </row>
    <row r="49" spans="1:12" s="512" customFormat="1" ht="20.25" hidden="1" customHeight="1">
      <c r="A49" s="515" t="s">
        <v>82</v>
      </c>
      <c r="B49" s="2884"/>
      <c r="C49" s="1104" t="s">
        <v>997</v>
      </c>
      <c r="D49" s="1103" t="s">
        <v>996</v>
      </c>
      <c r="E49" s="1104" t="s">
        <v>997</v>
      </c>
      <c r="F49" s="1105">
        <v>1195</v>
      </c>
      <c r="G49" s="870"/>
      <c r="H49" s="509"/>
      <c r="I49" s="517"/>
      <c r="K49" s="520">
        <f>SUM(F43:F48)</f>
        <v>153168.18</v>
      </c>
      <c r="L49" s="520">
        <f>SUM(I43:I49)</f>
        <v>157991.38</v>
      </c>
    </row>
    <row r="50" spans="1:12" s="512" customFormat="1" ht="20.25" hidden="1" customHeight="1">
      <c r="A50" s="515" t="s">
        <v>83</v>
      </c>
      <c r="B50" s="2884"/>
      <c r="C50" s="509" t="s">
        <v>999</v>
      </c>
      <c r="D50" s="870" t="s">
        <v>998</v>
      </c>
      <c r="E50" s="509" t="s">
        <v>999</v>
      </c>
      <c r="F50" s="517">
        <v>20725</v>
      </c>
      <c r="G50" s="870" t="s">
        <v>1066</v>
      </c>
      <c r="H50" s="509">
        <v>242</v>
      </c>
      <c r="I50" s="517">
        <v>20725</v>
      </c>
      <c r="J50" s="520"/>
      <c r="K50" s="510"/>
    </row>
    <row r="51" spans="1:12" s="512" customFormat="1" ht="20.25" hidden="1" customHeight="1">
      <c r="A51" s="515" t="s">
        <v>220</v>
      </c>
      <c r="B51" s="2884"/>
      <c r="C51" s="509" t="s">
        <v>1001</v>
      </c>
      <c r="D51" s="870" t="s">
        <v>1000</v>
      </c>
      <c r="E51" s="509" t="s">
        <v>1001</v>
      </c>
      <c r="F51" s="517">
        <v>12840</v>
      </c>
      <c r="G51" s="870" t="s">
        <v>1069</v>
      </c>
      <c r="H51" s="509">
        <v>276</v>
      </c>
      <c r="I51" s="517">
        <v>3005</v>
      </c>
      <c r="J51" s="520"/>
      <c r="K51" s="520">
        <f>F49+F51</f>
        <v>14035</v>
      </c>
      <c r="L51" s="520"/>
    </row>
    <row r="52" spans="1:12" s="512" customFormat="1" ht="20.25" hidden="1" customHeight="1">
      <c r="A52" s="515" t="s">
        <v>221</v>
      </c>
      <c r="B52" s="2884"/>
      <c r="C52" s="509" t="s">
        <v>1003</v>
      </c>
      <c r="D52" s="870" t="s">
        <v>1002</v>
      </c>
      <c r="E52" s="509" t="s">
        <v>1003</v>
      </c>
      <c r="F52" s="517">
        <v>4350</v>
      </c>
      <c r="G52" s="870" t="s">
        <v>1068</v>
      </c>
      <c r="H52" s="509">
        <v>336</v>
      </c>
      <c r="I52" s="517">
        <v>13045</v>
      </c>
      <c r="J52" s="520"/>
      <c r="K52" s="520">
        <f>F51+F52</f>
        <v>17190</v>
      </c>
      <c r="L52" s="520">
        <f>I51+I52</f>
        <v>16050</v>
      </c>
    </row>
    <row r="53" spans="1:12" s="512" customFormat="1" ht="20.25" hidden="1" customHeight="1">
      <c r="A53" s="507" t="s">
        <v>219</v>
      </c>
      <c r="B53" s="2884"/>
      <c r="C53" s="509" t="s">
        <v>1004</v>
      </c>
      <c r="D53" s="870" t="s">
        <v>883</v>
      </c>
      <c r="E53" s="509" t="s">
        <v>1004</v>
      </c>
      <c r="F53" s="517">
        <v>37232</v>
      </c>
      <c r="G53" s="870" t="s">
        <v>1071</v>
      </c>
      <c r="H53" s="509">
        <v>345</v>
      </c>
      <c r="I53" s="517">
        <v>990</v>
      </c>
      <c r="J53" s="520"/>
      <c r="K53" s="520"/>
    </row>
    <row r="54" spans="1:12" s="512" customFormat="1" ht="20.25" hidden="1" customHeight="1">
      <c r="A54" s="507" t="s">
        <v>222</v>
      </c>
      <c r="B54" s="2884"/>
      <c r="C54" s="509" t="s">
        <v>1005</v>
      </c>
      <c r="D54" s="870" t="s">
        <v>883</v>
      </c>
      <c r="E54" s="509" t="s">
        <v>1005</v>
      </c>
      <c r="F54" s="517">
        <v>7716</v>
      </c>
      <c r="G54" s="870" t="s">
        <v>1070</v>
      </c>
      <c r="H54" s="509">
        <v>394</v>
      </c>
      <c r="I54" s="517">
        <v>42545</v>
      </c>
      <c r="J54" s="520"/>
      <c r="K54" s="520">
        <f>F53+F54</f>
        <v>44948</v>
      </c>
      <c r="L54" s="520">
        <f>I54</f>
        <v>42545</v>
      </c>
    </row>
    <row r="55" spans="1:12" s="512" customFormat="1" ht="19.5" hidden="1" customHeight="1">
      <c r="A55" s="507" t="s">
        <v>308</v>
      </c>
      <c r="B55" s="2885"/>
      <c r="C55" s="509" t="s">
        <v>1007</v>
      </c>
      <c r="D55" s="870" t="s">
        <v>1006</v>
      </c>
      <c r="E55" s="509" t="s">
        <v>1007</v>
      </c>
      <c r="F55" s="517">
        <v>16914</v>
      </c>
      <c r="G55" s="870" t="s">
        <v>1072</v>
      </c>
      <c r="H55" s="509">
        <v>496</v>
      </c>
      <c r="I55" s="517">
        <v>41582</v>
      </c>
      <c r="J55" s="520"/>
      <c r="K55" s="511"/>
    </row>
    <row r="56" spans="1:12" s="512" customFormat="1" ht="19.5" hidden="1" customHeight="1">
      <c r="A56" s="507" t="s">
        <v>157</v>
      </c>
      <c r="B56" s="2868" t="s">
        <v>1008</v>
      </c>
      <c r="C56" s="509" t="s">
        <v>1009</v>
      </c>
      <c r="D56" s="870" t="s">
        <v>1006</v>
      </c>
      <c r="E56" s="509" t="s">
        <v>1009</v>
      </c>
      <c r="F56" s="517">
        <v>1213.49</v>
      </c>
      <c r="G56" s="2870" t="s">
        <v>1074</v>
      </c>
      <c r="H56" s="2872">
        <v>520</v>
      </c>
      <c r="I56" s="2874">
        <v>2815</v>
      </c>
      <c r="J56" s="520"/>
      <c r="K56" s="520">
        <f>F56+F57</f>
        <v>2333.0500000000002</v>
      </c>
      <c r="L56" s="520">
        <f>I56</f>
        <v>2815</v>
      </c>
    </row>
    <row r="57" spans="1:12" s="512" customFormat="1" ht="19.5" hidden="1" customHeight="1">
      <c r="A57" s="507" t="s">
        <v>224</v>
      </c>
      <c r="B57" s="2869"/>
      <c r="C57" s="509" t="s">
        <v>1009</v>
      </c>
      <c r="D57" s="870" t="s">
        <v>1006</v>
      </c>
      <c r="E57" s="509" t="s">
        <v>1009</v>
      </c>
      <c r="F57" s="517">
        <v>1119.56</v>
      </c>
      <c r="G57" s="2871"/>
      <c r="H57" s="2873"/>
      <c r="I57" s="2875"/>
      <c r="J57" s="520"/>
      <c r="K57" s="511"/>
    </row>
    <row r="58" spans="1:12" s="512" customFormat="1" ht="19.5" hidden="1" customHeight="1">
      <c r="A58" s="507" t="s">
        <v>1015</v>
      </c>
      <c r="B58" s="2868" t="s">
        <v>984</v>
      </c>
      <c r="C58" s="509" t="s">
        <v>1010</v>
      </c>
      <c r="D58" s="870" t="s">
        <v>891</v>
      </c>
      <c r="E58" s="509" t="s">
        <v>1010</v>
      </c>
      <c r="F58" s="517">
        <v>9400</v>
      </c>
      <c r="G58" s="870" t="s">
        <v>1073</v>
      </c>
      <c r="H58" s="509">
        <v>534</v>
      </c>
      <c r="I58" s="517">
        <v>15924</v>
      </c>
      <c r="J58" s="520"/>
      <c r="K58" s="511"/>
    </row>
    <row r="59" spans="1:12" s="512" customFormat="1" ht="19.5" hidden="1" customHeight="1">
      <c r="A59" s="507" t="s">
        <v>1016</v>
      </c>
      <c r="B59" s="2876"/>
      <c r="C59" s="509" t="s">
        <v>1012</v>
      </c>
      <c r="D59" s="870" t="s">
        <v>1011</v>
      </c>
      <c r="E59" s="509" t="s">
        <v>1012</v>
      </c>
      <c r="F59" s="517">
        <v>3485</v>
      </c>
      <c r="G59" s="870" t="s">
        <v>1075</v>
      </c>
      <c r="H59" s="509">
        <v>544</v>
      </c>
      <c r="I59" s="517">
        <v>990</v>
      </c>
      <c r="J59" s="520"/>
      <c r="K59" s="511"/>
    </row>
    <row r="60" spans="1:12" s="512" customFormat="1" ht="19.5" hidden="1" customHeight="1">
      <c r="A60" s="507" t="s">
        <v>1017</v>
      </c>
      <c r="B60" s="2876"/>
      <c r="C60" s="509" t="s">
        <v>1012</v>
      </c>
      <c r="D60" s="870" t="s">
        <v>1011</v>
      </c>
      <c r="E60" s="509" t="s">
        <v>1012</v>
      </c>
      <c r="F60" s="517">
        <v>4550</v>
      </c>
      <c r="G60" s="870" t="s">
        <v>1076</v>
      </c>
      <c r="H60" s="509">
        <v>722</v>
      </c>
      <c r="I60" s="517">
        <v>5626</v>
      </c>
      <c r="J60" s="520"/>
    </row>
    <row r="61" spans="1:12" s="512" customFormat="1" ht="19.5" hidden="1" customHeight="1">
      <c r="A61" s="507" t="s">
        <v>1018</v>
      </c>
      <c r="B61" s="2869"/>
      <c r="C61" s="509" t="s">
        <v>1014</v>
      </c>
      <c r="D61" s="870" t="s">
        <v>1013</v>
      </c>
      <c r="E61" s="509" t="s">
        <v>1014</v>
      </c>
      <c r="F61" s="517">
        <v>7735</v>
      </c>
      <c r="G61" s="870" t="s">
        <v>911</v>
      </c>
      <c r="H61" s="509">
        <v>860</v>
      </c>
      <c r="I61" s="517">
        <v>38620</v>
      </c>
      <c r="J61" s="520"/>
      <c r="K61" s="520">
        <f>SUM(F58:F61)</f>
        <v>25170</v>
      </c>
      <c r="L61" s="520">
        <f>SUM(I58:I61)</f>
        <v>61160</v>
      </c>
    </row>
    <row r="62" spans="1:12" s="512" customFormat="1" ht="19.5" hidden="1" customHeight="1">
      <c r="A62" s="507" t="s">
        <v>1019</v>
      </c>
      <c r="B62" s="871" t="s">
        <v>1008</v>
      </c>
      <c r="C62" s="509" t="s">
        <v>1027</v>
      </c>
      <c r="D62" s="870" t="s">
        <v>1026</v>
      </c>
      <c r="E62" s="509" t="s">
        <v>1027</v>
      </c>
      <c r="F62" s="517">
        <v>35413.81</v>
      </c>
      <c r="G62" s="870" t="s">
        <v>1077</v>
      </c>
      <c r="H62" s="509">
        <v>803</v>
      </c>
      <c r="I62" s="517">
        <v>35414</v>
      </c>
      <c r="J62" s="520"/>
      <c r="K62" s="511"/>
    </row>
    <row r="63" spans="1:12" s="512" customFormat="1" ht="19.5" hidden="1" customHeight="1">
      <c r="A63" s="507" t="s">
        <v>1020</v>
      </c>
      <c r="B63" s="871" t="s">
        <v>984</v>
      </c>
      <c r="C63" s="1104" t="s">
        <v>1029</v>
      </c>
      <c r="D63" s="1103" t="s">
        <v>1028</v>
      </c>
      <c r="E63" s="1104" t="s">
        <v>1029</v>
      </c>
      <c r="F63" s="1105">
        <v>24225</v>
      </c>
      <c r="G63" s="870" t="s">
        <v>1078</v>
      </c>
      <c r="H63" s="509">
        <v>929</v>
      </c>
      <c r="I63" s="517">
        <v>24225</v>
      </c>
      <c r="J63" s="520"/>
      <c r="K63" s="511"/>
    </row>
    <row r="64" spans="1:12" s="512" customFormat="1" ht="19.5" hidden="1" customHeight="1">
      <c r="A64" s="507" t="s">
        <v>1021</v>
      </c>
      <c r="B64" s="871"/>
      <c r="C64" s="509" t="s">
        <v>1033</v>
      </c>
      <c r="D64" s="870" t="s">
        <v>1032</v>
      </c>
      <c r="E64" s="509" t="s">
        <v>1033</v>
      </c>
      <c r="F64" s="517">
        <v>47687</v>
      </c>
      <c r="G64" s="870" t="s">
        <v>1079</v>
      </c>
      <c r="H64" s="509">
        <v>947</v>
      </c>
      <c r="I64" s="517">
        <v>47687</v>
      </c>
      <c r="J64" s="520"/>
      <c r="K64" s="511"/>
    </row>
    <row r="65" spans="1:11" s="512" customFormat="1" ht="19.5" hidden="1" customHeight="1">
      <c r="A65" s="507" t="s">
        <v>1022</v>
      </c>
      <c r="B65" s="871"/>
      <c r="C65" s="509" t="s">
        <v>1031</v>
      </c>
      <c r="D65" s="870" t="s">
        <v>1030</v>
      </c>
      <c r="E65" s="509" t="s">
        <v>1031</v>
      </c>
      <c r="F65" s="517">
        <v>5740</v>
      </c>
      <c r="G65" s="870" t="s">
        <v>1080</v>
      </c>
      <c r="H65" s="509">
        <v>994</v>
      </c>
      <c r="I65" s="517">
        <v>13340</v>
      </c>
      <c r="J65" s="520"/>
      <c r="K65" s="511"/>
    </row>
    <row r="66" spans="1:11" s="512" customFormat="1" ht="19.5" hidden="1" customHeight="1">
      <c r="A66" s="507" t="s">
        <v>1023</v>
      </c>
      <c r="B66" s="871"/>
      <c r="C66" s="509" t="s">
        <v>1034</v>
      </c>
      <c r="D66" s="870" t="s">
        <v>1036</v>
      </c>
      <c r="E66" s="509" t="s">
        <v>1034</v>
      </c>
      <c r="F66" s="517">
        <v>5500</v>
      </c>
      <c r="G66" s="870"/>
      <c r="H66" s="509"/>
      <c r="I66" s="517"/>
      <c r="J66" s="520"/>
      <c r="K66" s="520">
        <f>SUM(F65:F66)</f>
        <v>11240</v>
      </c>
    </row>
    <row r="67" spans="1:11" s="512" customFormat="1" ht="19.5" hidden="1" customHeight="1">
      <c r="A67" s="507" t="s">
        <v>1024</v>
      </c>
      <c r="B67" s="871"/>
      <c r="C67" s="509" t="s">
        <v>1037</v>
      </c>
      <c r="D67" s="870" t="s">
        <v>1035</v>
      </c>
      <c r="E67" s="509" t="s">
        <v>1037</v>
      </c>
      <c r="F67" s="517">
        <v>7600</v>
      </c>
      <c r="G67" s="870"/>
      <c r="H67" s="509"/>
      <c r="I67" s="517"/>
      <c r="J67" s="520"/>
      <c r="K67" s="511"/>
    </row>
    <row r="68" spans="1:11" s="512" customFormat="1" ht="19.5" hidden="1" customHeight="1">
      <c r="A68" s="507" t="s">
        <v>1025</v>
      </c>
      <c r="B68" s="871"/>
      <c r="C68" s="509" t="s">
        <v>1038</v>
      </c>
      <c r="D68" s="870" t="s">
        <v>1035</v>
      </c>
      <c r="E68" s="509" t="s">
        <v>1038</v>
      </c>
      <c r="F68" s="517">
        <v>3250</v>
      </c>
      <c r="G68" s="870" t="s">
        <v>1081</v>
      </c>
      <c r="H68" s="509">
        <v>1026</v>
      </c>
      <c r="I68" s="517">
        <v>3250</v>
      </c>
      <c r="J68" s="520"/>
      <c r="K68" s="511"/>
    </row>
    <row r="69" spans="1:11" s="512" customFormat="1" ht="21" hidden="1" customHeight="1">
      <c r="A69" s="507" t="s">
        <v>1041</v>
      </c>
      <c r="B69" s="871"/>
      <c r="C69" s="509" t="s">
        <v>1042</v>
      </c>
      <c r="D69" s="870" t="s">
        <v>1039</v>
      </c>
      <c r="E69" s="509" t="s">
        <v>1042</v>
      </c>
      <c r="F69" s="517">
        <v>21291</v>
      </c>
      <c r="G69" s="870"/>
      <c r="H69" s="509"/>
      <c r="I69" s="517"/>
      <c r="J69" s="520"/>
      <c r="K69" s="511"/>
    </row>
    <row r="70" spans="1:11" s="512" customFormat="1" ht="19.5" hidden="1" customHeight="1">
      <c r="A70" s="507"/>
      <c r="B70" s="2392"/>
      <c r="C70" s="509"/>
      <c r="D70" s="870"/>
      <c r="E70" s="509"/>
      <c r="F70" s="517"/>
      <c r="G70" s="870"/>
      <c r="H70" s="509"/>
      <c r="I70" s="517"/>
      <c r="J70" s="520"/>
      <c r="K70" s="511"/>
    </row>
    <row r="71" spans="1:11" s="512" customFormat="1" ht="19.5" hidden="1" customHeight="1">
      <c r="A71" s="507"/>
      <c r="B71" s="2392"/>
      <c r="C71" s="509"/>
      <c r="D71" s="870"/>
      <c r="E71" s="509"/>
      <c r="F71" s="517"/>
      <c r="G71" s="870"/>
      <c r="H71" s="509"/>
      <c r="I71" s="517"/>
      <c r="J71" s="520"/>
      <c r="K71" s="511"/>
    </row>
    <row r="72" spans="1:11" s="512" customFormat="1" ht="19.5" hidden="1" customHeight="1">
      <c r="A72" s="507"/>
      <c r="B72" s="2392"/>
      <c r="C72" s="509"/>
      <c r="D72" s="870"/>
      <c r="E72" s="509"/>
      <c r="F72" s="517"/>
      <c r="G72" s="870"/>
      <c r="H72" s="509"/>
      <c r="I72" s="517"/>
      <c r="J72" s="520"/>
      <c r="K72" s="511"/>
    </row>
    <row r="73" spans="1:11" s="512" customFormat="1" ht="19.5" hidden="1" customHeight="1">
      <c r="A73" s="507"/>
      <c r="B73" s="2392"/>
      <c r="C73" s="509"/>
      <c r="D73" s="870"/>
      <c r="E73" s="509"/>
      <c r="F73" s="517"/>
      <c r="G73" s="870"/>
      <c r="H73" s="509"/>
      <c r="I73" s="517"/>
      <c r="J73" s="520"/>
      <c r="K73" s="511"/>
    </row>
    <row r="74" spans="1:11" s="512" customFormat="1" ht="19.5" hidden="1" customHeight="1">
      <c r="A74" s="507"/>
      <c r="B74" s="2392"/>
      <c r="C74" s="509"/>
      <c r="D74" s="870"/>
      <c r="E74" s="509"/>
      <c r="F74" s="517"/>
      <c r="G74" s="870"/>
      <c r="H74" s="509"/>
      <c r="I74" s="517"/>
      <c r="J74" s="520"/>
      <c r="K74" s="511"/>
    </row>
    <row r="75" spans="1:11" s="512" customFormat="1" ht="19.5" hidden="1" customHeight="1">
      <c r="A75" s="507"/>
      <c r="B75" s="2392"/>
      <c r="C75" s="509"/>
      <c r="D75" s="870"/>
      <c r="E75" s="509"/>
      <c r="F75" s="517"/>
      <c r="G75" s="870"/>
      <c r="H75" s="509"/>
      <c r="I75" s="517"/>
      <c r="J75" s="520"/>
      <c r="K75" s="511"/>
    </row>
    <row r="76" spans="1:11" s="512" customFormat="1" ht="19.5" hidden="1" customHeight="1">
      <c r="A76" s="507"/>
      <c r="B76" s="2392"/>
      <c r="C76" s="509"/>
      <c r="D76" s="870"/>
      <c r="E76" s="509"/>
      <c r="F76" s="517"/>
      <c r="G76" s="870"/>
      <c r="H76" s="509"/>
      <c r="I76" s="517"/>
      <c r="J76" s="520"/>
      <c r="K76" s="511"/>
    </row>
    <row r="77" spans="1:11" s="512" customFormat="1" ht="19.5" hidden="1" customHeight="1">
      <c r="A77" s="507"/>
      <c r="B77" s="2392"/>
      <c r="C77" s="509"/>
      <c r="D77" s="870"/>
      <c r="E77" s="509"/>
      <c r="F77" s="517"/>
      <c r="G77" s="870"/>
      <c r="H77" s="509"/>
      <c r="I77" s="517"/>
      <c r="J77" s="520"/>
      <c r="K77" s="511"/>
    </row>
    <row r="78" spans="1:11" s="512" customFormat="1" ht="19.5" hidden="1" customHeight="1">
      <c r="A78" s="507"/>
      <c r="B78" s="2392"/>
      <c r="C78" s="509"/>
      <c r="D78" s="870"/>
      <c r="E78" s="509"/>
      <c r="F78" s="517"/>
      <c r="G78" s="870"/>
      <c r="H78" s="509"/>
      <c r="I78" s="517"/>
      <c r="J78" s="520"/>
      <c r="K78" s="511"/>
    </row>
    <row r="79" spans="1:11" s="512" customFormat="1" ht="19.5" hidden="1" customHeight="1">
      <c r="A79" s="507"/>
      <c r="B79" s="2392"/>
      <c r="C79" s="509"/>
      <c r="D79" s="870"/>
      <c r="E79" s="509"/>
      <c r="F79" s="517"/>
      <c r="G79" s="870"/>
      <c r="H79" s="509"/>
      <c r="I79" s="517"/>
      <c r="J79" s="520"/>
      <c r="K79" s="511"/>
    </row>
    <row r="80" spans="1:11" s="512" customFormat="1" ht="19.5" hidden="1" customHeight="1">
      <c r="A80" s="507"/>
      <c r="B80" s="2392"/>
      <c r="C80" s="509"/>
      <c r="D80" s="870"/>
      <c r="E80" s="509"/>
      <c r="F80" s="517"/>
      <c r="G80" s="870"/>
      <c r="H80" s="509"/>
      <c r="I80" s="517"/>
      <c r="J80" s="520"/>
      <c r="K80" s="511"/>
    </row>
    <row r="81" spans="1:21" s="512" customFormat="1" ht="19.5" hidden="1" customHeight="1">
      <c r="A81" s="507"/>
      <c r="B81" s="2392"/>
      <c r="C81" s="509"/>
      <c r="D81" s="870"/>
      <c r="E81" s="509"/>
      <c r="F81" s="517"/>
      <c r="G81" s="870"/>
      <c r="H81" s="509"/>
      <c r="I81" s="517"/>
      <c r="J81" s="520"/>
      <c r="K81" s="511"/>
    </row>
    <row r="82" spans="1:21" hidden="1">
      <c r="A82" s="514" t="s">
        <v>158</v>
      </c>
      <c r="B82" s="516"/>
      <c r="C82" s="513"/>
      <c r="D82" s="508"/>
      <c r="E82" s="513"/>
      <c r="F82" s="519">
        <f>SUM(F43:F81)</f>
        <v>432350.04</v>
      </c>
      <c r="G82" s="521"/>
      <c r="H82" s="521"/>
      <c r="I82" s="519">
        <f>SUM(I43:I81)</f>
        <v>467774.38</v>
      </c>
      <c r="J82" s="506"/>
      <c r="K82" s="47"/>
    </row>
    <row r="83" spans="1:21" ht="36" hidden="1" customHeight="1">
      <c r="A83" s="1107" t="s">
        <v>1044</v>
      </c>
      <c r="B83" s="522"/>
      <c r="C83" s="524"/>
      <c r="D83" s="523"/>
      <c r="E83" s="524"/>
      <c r="F83" s="525"/>
      <c r="G83" s="42"/>
      <c r="H83" s="42"/>
      <c r="I83" s="525"/>
      <c r="J83" s="506"/>
      <c r="K83" s="47"/>
    </row>
    <row r="84" spans="1:21" s="94" customFormat="1" hidden="1">
      <c r="A84" s="443" t="s">
        <v>1407</v>
      </c>
      <c r="K84" s="873">
        <f>I30/1.18/9*12/1000</f>
        <v>1307.6322372881359</v>
      </c>
    </row>
    <row r="85" spans="1:21" hidden="1">
      <c r="A85" s="42" t="s">
        <v>1409</v>
      </c>
      <c r="B85" s="42"/>
      <c r="C85" s="22"/>
      <c r="D85" s="42"/>
      <c r="E85" s="22"/>
      <c r="F85" s="749"/>
      <c r="G85" s="749"/>
      <c r="H85" s="749"/>
      <c r="I85" s="749"/>
      <c r="J85" s="749"/>
      <c r="K85" s="750"/>
      <c r="L85" s="749"/>
      <c r="M85" s="749"/>
      <c r="N85" s="749"/>
      <c r="O85" s="749"/>
      <c r="T85" s="79"/>
      <c r="U85" s="527"/>
    </row>
    <row r="86" spans="1:21" hidden="1">
      <c r="A86" s="42"/>
      <c r="B86" s="1109" t="s">
        <v>1045</v>
      </c>
      <c r="C86" s="237" t="s">
        <v>873</v>
      </c>
      <c r="E86" s="237" t="s">
        <v>873</v>
      </c>
      <c r="F86" s="817" t="s">
        <v>760</v>
      </c>
      <c r="G86" s="42"/>
      <c r="H86" s="42"/>
      <c r="I86" s="22"/>
      <c r="J86" s="17"/>
      <c r="K86" s="750"/>
      <c r="L86" s="749"/>
      <c r="M86" s="22"/>
      <c r="N86" s="749"/>
      <c r="O86" s="749"/>
      <c r="Q86" s="79"/>
      <c r="T86" s="80"/>
      <c r="U86" s="527"/>
    </row>
    <row r="87" spans="1:21" hidden="1">
      <c r="C87" s="17">
        <v>404.79700000000003</v>
      </c>
      <c r="D87" s="52" t="s">
        <v>1406</v>
      </c>
      <c r="E87" s="17">
        <v>404.79700000000003</v>
      </c>
      <c r="F87" s="875">
        <f>C87/$C$92*100</f>
        <v>17.307915137568589</v>
      </c>
      <c r="G87" s="52"/>
      <c r="J87" s="17"/>
      <c r="K87" s="193">
        <f>'П1.30 - 07.06.11г.'!C76</f>
        <v>6486.5829999999987</v>
      </c>
      <c r="L87" s="6"/>
      <c r="M87" s="6"/>
      <c r="N87" s="6"/>
      <c r="O87" s="6"/>
      <c r="T87" s="815" t="e">
        <f>C90/$C$28*100</f>
        <v>#DIV/0!</v>
      </c>
      <c r="U87" s="527"/>
    </row>
    <row r="88" spans="1:21" hidden="1">
      <c r="B88" s="55"/>
      <c r="C88" s="55"/>
      <c r="D88" s="55" t="s">
        <v>1048</v>
      </c>
      <c r="E88" s="55"/>
      <c r="G88" s="52"/>
      <c r="J88" s="17"/>
      <c r="K88" s="193"/>
      <c r="L88" s="6"/>
      <c r="M88" s="6"/>
      <c r="N88" s="6"/>
      <c r="O88" s="6"/>
      <c r="T88" s="815"/>
      <c r="U88" s="527"/>
    </row>
    <row r="89" spans="1:21" hidden="1">
      <c r="B89" s="55"/>
      <c r="C89" s="55">
        <f>'П1.30 - 07.06.11г.'!$C$28</f>
        <v>531.55799999999999</v>
      </c>
      <c r="D89" s="547" t="s">
        <v>1046</v>
      </c>
      <c r="E89" s="55">
        <f>'П1.30 - 07.06.11г.'!$C$28</f>
        <v>531.55799999999999</v>
      </c>
      <c r="G89" s="52"/>
      <c r="J89" s="17"/>
      <c r="K89" s="193"/>
      <c r="L89" s="6"/>
      <c r="M89" s="6"/>
      <c r="N89" s="6"/>
      <c r="O89" s="6"/>
      <c r="T89" s="815"/>
      <c r="U89" s="527"/>
    </row>
    <row r="90" spans="1:21" hidden="1">
      <c r="B90" s="547"/>
      <c r="C90" s="816">
        <f>16.5+40</f>
        <v>56.5</v>
      </c>
      <c r="D90" s="547" t="s">
        <v>1049</v>
      </c>
      <c r="E90" s="816">
        <f>16.5+40</f>
        <v>56.5</v>
      </c>
      <c r="G90" s="52"/>
      <c r="J90" s="17"/>
      <c r="K90" s="193"/>
      <c r="L90" s="6"/>
      <c r="M90" s="6"/>
      <c r="N90" s="6"/>
      <c r="O90" s="6"/>
      <c r="T90" s="815"/>
      <c r="U90" s="527"/>
    </row>
    <row r="91" spans="1:21" hidden="1">
      <c r="B91" s="52" t="s">
        <v>875</v>
      </c>
      <c r="C91" s="608">
        <f>'[10]стр-ра пол.отп. 2014г.'!$D$23+'[10]стр-ра пол.отп. 2014г.'!$E$23+'[10]стр-ра пол.отп. 2014г.'!$F$23</f>
        <v>1934</v>
      </c>
      <c r="E91" s="608">
        <f>'[10]стр-ра пол.отп. 2014г.'!$D$23+'[10]стр-ра пол.отп. 2014г.'!$E$23+'[10]стр-ра пол.отп. 2014г.'!$F$23</f>
        <v>1934</v>
      </c>
      <c r="F91" s="875">
        <f>C91/$C$92*100</f>
        <v>82.692084862431415</v>
      </c>
      <c r="J91" s="17">
        <f>825+807</f>
        <v>1632</v>
      </c>
      <c r="K91" s="193">
        <f>'2012 Баланс  '!C69</f>
        <v>0</v>
      </c>
      <c r="L91" s="6"/>
      <c r="M91" s="6"/>
      <c r="N91" s="6"/>
      <c r="O91" s="6"/>
      <c r="T91" s="815" t="e">
        <f>C91/$C$28*100</f>
        <v>#DIV/0!</v>
      </c>
      <c r="U91" s="527"/>
    </row>
    <row r="92" spans="1:21" hidden="1">
      <c r="B92" s="52" t="s">
        <v>158</v>
      </c>
      <c r="C92" s="608">
        <f>C87+C91</f>
        <v>2338.797</v>
      </c>
      <c r="E92" s="608">
        <f>E87+E91</f>
        <v>2338.797</v>
      </c>
      <c r="F92" s="876">
        <f>SUM(F87:F91)</f>
        <v>100</v>
      </c>
      <c r="J92" s="17"/>
      <c r="K92" s="193">
        <f>SUM(K87:K91)</f>
        <v>6486.5829999999987</v>
      </c>
      <c r="L92" s="6"/>
      <c r="M92" s="6"/>
      <c r="N92" s="6"/>
      <c r="O92" s="6"/>
      <c r="T92" s="815" t="e">
        <f>C92/$C$28*100</f>
        <v>#DIV/0!</v>
      </c>
      <c r="U92" s="527"/>
    </row>
    <row r="93" spans="1:21" s="94" customFormat="1" hidden="1">
      <c r="A93" s="443" t="s">
        <v>1408</v>
      </c>
      <c r="K93" s="873">
        <f>I31/1.18/9*12/1000</f>
        <v>0</v>
      </c>
    </row>
    <row r="94" spans="1:21" s="94" customFormat="1" hidden="1">
      <c r="A94" s="94" t="s">
        <v>1051</v>
      </c>
      <c r="F94" s="872" t="s">
        <v>1410</v>
      </c>
      <c r="G94" s="752">
        <f>$F$82/1000/1.18*1.071*$F$87/100</f>
        <v>67.918443440589286</v>
      </c>
      <c r="H94" s="108" t="s">
        <v>868</v>
      </c>
      <c r="K94" s="873"/>
    </row>
    <row r="95" spans="1:21" s="94" customFormat="1" hidden="1">
      <c r="A95" s="94" t="s">
        <v>1440</v>
      </c>
      <c r="J95" s="167"/>
    </row>
    <row r="96" spans="1:21" s="94" customFormat="1" hidden="1">
      <c r="C96" s="872" t="s">
        <v>1441</v>
      </c>
      <c r="E96" s="872" t="s">
        <v>1441</v>
      </c>
      <c r="F96" s="752">
        <f>$G$94*1.054</f>
        <v>71.586039386381117</v>
      </c>
      <c r="G96" s="108" t="s">
        <v>1057</v>
      </c>
      <c r="J96" s="167"/>
    </row>
    <row r="97" spans="1:10" s="94" customFormat="1" hidden="1">
      <c r="D97" s="874"/>
      <c r="J97" s="167"/>
    </row>
    <row r="98" spans="1:10" s="94" customFormat="1" hidden="1">
      <c r="A98" s="108" t="s">
        <v>1055</v>
      </c>
      <c r="J98" s="167"/>
    </row>
    <row r="99" spans="1:10" hidden="1">
      <c r="A99" s="17" t="s">
        <v>1056</v>
      </c>
    </row>
    <row r="100" spans="1:10" hidden="1">
      <c r="B100" s="1112"/>
      <c r="C100" s="1133" t="s">
        <v>1411</v>
      </c>
      <c r="D100" s="1112"/>
      <c r="E100" s="1133" t="s">
        <v>1411</v>
      </c>
      <c r="F100" s="1114">
        <f>F36+G94</f>
        <v>1225.1729734405894</v>
      </c>
      <c r="G100" s="1115" t="s">
        <v>84</v>
      </c>
    </row>
    <row r="101" spans="1:10" hidden="1">
      <c r="B101" s="1112"/>
      <c r="C101" s="1133" t="s">
        <v>1412</v>
      </c>
      <c r="D101" s="1112"/>
      <c r="E101" s="1133" t="s">
        <v>1412</v>
      </c>
      <c r="F101" s="1114">
        <f>D38+F96</f>
        <v>1320.2636772563812</v>
      </c>
      <c r="G101" s="1115" t="s">
        <v>84</v>
      </c>
    </row>
    <row r="103" spans="1:10" ht="13.5" customHeight="1"/>
    <row r="104" spans="1:10">
      <c r="A104" s="51" t="s">
        <v>227</v>
      </c>
    </row>
    <row r="105" spans="1:10">
      <c r="A105" s="51" t="s">
        <v>236</v>
      </c>
    </row>
  </sheetData>
  <mergeCells count="12">
    <mergeCell ref="G15:G17"/>
    <mergeCell ref="H15:H17"/>
    <mergeCell ref="I15:I17"/>
    <mergeCell ref="B43:B55"/>
    <mergeCell ref="G47:G48"/>
    <mergeCell ref="H47:H48"/>
    <mergeCell ref="I47:I48"/>
    <mergeCell ref="B56:B57"/>
    <mergeCell ref="G56:G57"/>
    <mergeCell ref="H56:H57"/>
    <mergeCell ref="I56:I57"/>
    <mergeCell ref="B58:B61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landscape" r:id="rId1"/>
  <headerFooter alignWithMargins="0">
    <oddFooter>&amp;R&amp;P</oddFooter>
  </headerFooter>
  <rowBreaks count="1" manualBreakCount="1">
    <brk id="39" max="16383" man="1"/>
  </rowBreaks>
  <colBreaks count="1" manualBreakCount="1">
    <brk id="9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7030A0"/>
  </sheetPr>
  <dimension ref="A1:K47"/>
  <sheetViews>
    <sheetView zoomScaleNormal="100" workbookViewId="0">
      <selection activeCell="C28" sqref="C28"/>
    </sheetView>
  </sheetViews>
  <sheetFormatPr defaultColWidth="9.109375" defaultRowHeight="15.6"/>
  <cols>
    <col min="1" max="1" width="3.6640625" style="17" customWidth="1"/>
    <col min="2" max="2" width="93.33203125" style="17" customWidth="1"/>
    <col min="3" max="3" width="20.88671875" style="17" hidden="1" customWidth="1"/>
    <col min="4" max="4" width="51.109375" style="17" customWidth="1"/>
    <col min="5" max="6" width="16.109375" style="17" customWidth="1"/>
    <col min="7" max="7" width="17" style="17" hidden="1" customWidth="1"/>
    <col min="8" max="8" width="9.109375" style="17"/>
    <col min="9" max="9" width="10.109375" style="17" bestFit="1" customWidth="1"/>
    <col min="10" max="16384" width="9.109375" style="17"/>
  </cols>
  <sheetData>
    <row r="1" spans="1:11" ht="17.399999999999999">
      <c r="A1" s="1634" t="s">
        <v>638</v>
      </c>
      <c r="B1" s="1634"/>
      <c r="C1" s="1634"/>
      <c r="D1" s="1634"/>
      <c r="E1" s="1634"/>
      <c r="F1" s="1634"/>
      <c r="G1" s="1634"/>
    </row>
    <row r="2" spans="1:11" ht="25.5" customHeight="1">
      <c r="A2" s="1634" t="s">
        <v>1629</v>
      </c>
      <c r="B2" s="1634"/>
      <c r="C2" s="1634"/>
      <c r="D2" s="1634"/>
      <c r="E2" s="1634"/>
      <c r="F2" s="1634"/>
      <c r="G2" s="1634"/>
    </row>
    <row r="3" spans="1:11">
      <c r="A3"/>
      <c r="B3"/>
      <c r="C3"/>
      <c r="D3" s="1824" t="s">
        <v>848</v>
      </c>
      <c r="E3" s="63"/>
      <c r="F3" s="63" t="s">
        <v>263</v>
      </c>
      <c r="G3" s="63"/>
    </row>
    <row r="4" spans="1:11" ht="49.5" customHeight="1">
      <c r="A4" s="44" t="s">
        <v>229</v>
      </c>
      <c r="B4" s="43" t="s">
        <v>645</v>
      </c>
      <c r="C4" s="43" t="s">
        <v>227</v>
      </c>
      <c r="D4" s="43" t="s">
        <v>228</v>
      </c>
      <c r="E4" s="68" t="s">
        <v>1398</v>
      </c>
      <c r="F4" s="68" t="s">
        <v>1401</v>
      </c>
      <c r="G4" s="68" t="s">
        <v>1568</v>
      </c>
      <c r="H4" s="52" t="s">
        <v>1139</v>
      </c>
      <c r="I4" s="1483">
        <v>0.1474</v>
      </c>
    </row>
    <row r="5" spans="1:11" ht="21" customHeight="1">
      <c r="A5" s="44"/>
      <c r="B5" s="43"/>
      <c r="C5" s="43"/>
      <c r="D5" s="43"/>
      <c r="E5" s="98" t="s">
        <v>84</v>
      </c>
      <c r="F5" s="98" t="s">
        <v>84</v>
      </c>
      <c r="G5" s="98" t="s">
        <v>84</v>
      </c>
      <c r="H5" s="52"/>
      <c r="I5" s="1483"/>
    </row>
    <row r="6" spans="1:11" ht="16.2">
      <c r="A6" s="99" t="s">
        <v>265</v>
      </c>
      <c r="B6" s="100"/>
      <c r="C6" s="100"/>
      <c r="D6" s="101"/>
      <c r="E6" s="101"/>
      <c r="F6" s="101"/>
      <c r="G6" s="101"/>
      <c r="H6" s="52"/>
      <c r="I6" s="1483"/>
    </row>
    <row r="7" spans="1:11" s="94" customFormat="1" ht="51.75" customHeight="1">
      <c r="A7" s="1635" t="s">
        <v>76</v>
      </c>
      <c r="B7" s="102" t="s">
        <v>1397</v>
      </c>
      <c r="C7" s="2886" t="s">
        <v>661</v>
      </c>
      <c r="D7" s="23" t="s">
        <v>1414</v>
      </c>
      <c r="E7" s="104">
        <v>345.98541999999998</v>
      </c>
      <c r="F7" s="104">
        <f>E7</f>
        <v>345.98541999999998</v>
      </c>
      <c r="G7" s="104">
        <f>F7</f>
        <v>345.98541999999998</v>
      </c>
    </row>
    <row r="8" spans="1:11" s="112" customFormat="1" ht="40.5" customHeight="1">
      <c r="A8" s="1635" t="s">
        <v>77</v>
      </c>
      <c r="B8" s="102" t="s">
        <v>1399</v>
      </c>
      <c r="C8" s="2887"/>
      <c r="D8" s="23" t="s">
        <v>1400</v>
      </c>
      <c r="E8" s="104">
        <v>1101.6949199999999</v>
      </c>
      <c r="F8" s="104">
        <f>E8*I4</f>
        <v>162.389831208</v>
      </c>
      <c r="G8" s="104">
        <f>F8</f>
        <v>162.389831208</v>
      </c>
      <c r="K8" s="528"/>
    </row>
    <row r="9" spans="1:11" s="112" customFormat="1" ht="31.5" customHeight="1">
      <c r="A9" s="1635" t="s">
        <v>78</v>
      </c>
      <c r="B9" s="102" t="s">
        <v>1413</v>
      </c>
      <c r="C9" s="2887"/>
      <c r="D9" s="23" t="s">
        <v>1417</v>
      </c>
      <c r="E9" s="104">
        <f>23.6/1.18</f>
        <v>20.000000000000004</v>
      </c>
      <c r="F9" s="104">
        <f>E9*I4</f>
        <v>2.9480000000000004</v>
      </c>
      <c r="G9" s="104">
        <f>F9</f>
        <v>2.9480000000000004</v>
      </c>
      <c r="K9" s="528"/>
    </row>
    <row r="10" spans="1:11" s="112" customFormat="1" ht="38.25" customHeight="1">
      <c r="A10" s="1635" t="s">
        <v>79</v>
      </c>
      <c r="B10" s="102" t="s">
        <v>1415</v>
      </c>
      <c r="C10" s="2887"/>
      <c r="D10" s="23" t="s">
        <v>1416</v>
      </c>
      <c r="E10" s="104">
        <v>43.873489999999997</v>
      </c>
      <c r="F10" s="104">
        <f>E10*I4</f>
        <v>6.4669524259999998</v>
      </c>
      <c r="G10" s="104">
        <f>F10</f>
        <v>6.4669524259999998</v>
      </c>
      <c r="K10" s="528"/>
    </row>
    <row r="11" spans="1:11" s="112" customFormat="1" ht="33.75" customHeight="1">
      <c r="A11" s="2889" t="s">
        <v>80</v>
      </c>
      <c r="B11" s="2890" t="s">
        <v>1559</v>
      </c>
      <c r="C11" s="2887"/>
      <c r="D11" s="23" t="s">
        <v>1418</v>
      </c>
      <c r="E11" s="104">
        <f>10500/1.18</f>
        <v>8898.3050847457635</v>
      </c>
      <c r="F11" s="104"/>
      <c r="G11" s="104">
        <v>0</v>
      </c>
      <c r="K11" s="528"/>
    </row>
    <row r="12" spans="1:11" s="112" customFormat="1" ht="35.25" customHeight="1">
      <c r="A12" s="2889"/>
      <c r="B12" s="2891"/>
      <c r="C12" s="2887"/>
      <c r="D12" s="23" t="s">
        <v>1419</v>
      </c>
      <c r="E12" s="104">
        <f>E11/3</f>
        <v>2966.1016949152545</v>
      </c>
      <c r="F12" s="104">
        <f>E12*I4</f>
        <v>437.20338983050851</v>
      </c>
      <c r="G12" s="104">
        <f>F12*J4</f>
        <v>0</v>
      </c>
      <c r="K12" s="528"/>
    </row>
    <row r="13" spans="1:11" s="112" customFormat="1" ht="17.25" hidden="1" customHeight="1">
      <c r="A13" s="1635"/>
      <c r="B13" s="102"/>
      <c r="C13" s="2887"/>
      <c r="D13" s="23"/>
      <c r="E13" s="104"/>
      <c r="F13" s="104"/>
      <c r="G13" s="104"/>
      <c r="K13" s="528"/>
    </row>
    <row r="14" spans="1:11" s="112" customFormat="1" ht="17.25" hidden="1" customHeight="1">
      <c r="A14" s="1635"/>
      <c r="B14" s="102"/>
      <c r="C14" s="2887"/>
      <c r="D14" s="23"/>
      <c r="E14" s="104"/>
      <c r="F14" s="104"/>
      <c r="G14" s="104"/>
      <c r="K14" s="528"/>
    </row>
    <row r="15" spans="1:11" s="112" customFormat="1" ht="17.25" hidden="1" customHeight="1">
      <c r="A15" s="1635"/>
      <c r="B15" s="102"/>
      <c r="C15" s="2887"/>
      <c r="D15" s="23"/>
      <c r="E15" s="104"/>
      <c r="F15" s="104"/>
      <c r="G15" s="104"/>
      <c r="K15" s="528"/>
    </row>
    <row r="16" spans="1:11" s="112" customFormat="1" ht="17.25" hidden="1" customHeight="1">
      <c r="A16" s="1635"/>
      <c r="B16" s="537"/>
      <c r="C16" s="2887"/>
      <c r="D16" s="23"/>
      <c r="E16" s="541">
        <f>SUM(E18:E20)</f>
        <v>0</v>
      </c>
      <c r="F16" s="541">
        <f>SUM(F18:F20)</f>
        <v>0</v>
      </c>
      <c r="G16" s="541">
        <f>SUM(G18:G20)</f>
        <v>0</v>
      </c>
      <c r="K16" s="528"/>
    </row>
    <row r="17" spans="1:11" s="112" customFormat="1" hidden="1">
      <c r="A17" s="1635"/>
      <c r="B17" s="539"/>
      <c r="C17" s="2887"/>
      <c r="D17" s="23"/>
      <c r="E17" s="542"/>
      <c r="F17" s="542"/>
      <c r="G17" s="542"/>
      <c r="K17" s="528"/>
    </row>
    <row r="18" spans="1:11" s="112" customFormat="1" ht="17.25" hidden="1" customHeight="1">
      <c r="A18" s="1635"/>
      <c r="B18" s="540"/>
      <c r="C18" s="2887"/>
      <c r="D18" s="23"/>
      <c r="E18" s="542"/>
      <c r="F18" s="542"/>
      <c r="G18" s="542"/>
      <c r="K18" s="528"/>
    </row>
    <row r="19" spans="1:11" s="112" customFormat="1" ht="17.25" hidden="1" customHeight="1">
      <c r="A19" s="1635"/>
      <c r="B19" s="540"/>
      <c r="C19" s="2887"/>
      <c r="D19" s="23"/>
      <c r="E19" s="542"/>
      <c r="F19" s="542"/>
      <c r="G19" s="542"/>
      <c r="K19" s="528"/>
    </row>
    <row r="20" spans="1:11" s="112" customFormat="1" ht="17.25" hidden="1" customHeight="1">
      <c r="A20" s="1635"/>
      <c r="B20" s="540"/>
      <c r="C20" s="2888"/>
      <c r="D20" s="23"/>
      <c r="E20" s="542"/>
      <c r="F20" s="542"/>
      <c r="G20" s="542"/>
      <c r="K20" s="528"/>
    </row>
    <row r="21" spans="1:11" s="112" customFormat="1" ht="3.75" hidden="1" customHeight="1">
      <c r="A21" s="1635"/>
      <c r="B21" s="102"/>
      <c r="C21" s="2886" t="s">
        <v>665</v>
      </c>
      <c r="D21" s="23"/>
      <c r="E21" s="104"/>
      <c r="F21" s="104"/>
      <c r="G21" s="104"/>
      <c r="K21" s="528"/>
    </row>
    <row r="22" spans="1:11" s="112" customFormat="1" ht="33" customHeight="1">
      <c r="A22" s="1635" t="s">
        <v>81</v>
      </c>
      <c r="B22" s="102" t="s">
        <v>662</v>
      </c>
      <c r="C22" s="2887"/>
      <c r="D22" s="23" t="s">
        <v>1420</v>
      </c>
      <c r="E22" s="104">
        <f>87.02/1.18</f>
        <v>73.745762711864401</v>
      </c>
      <c r="F22" s="104">
        <f>E22*I4</f>
        <v>10.870125423728814</v>
      </c>
      <c r="G22" s="104">
        <f>F22</f>
        <v>10.870125423728814</v>
      </c>
      <c r="K22" s="528"/>
    </row>
    <row r="23" spans="1:11" s="112" customFormat="1" ht="20.25" customHeight="1">
      <c r="A23" s="1635" t="s">
        <v>82</v>
      </c>
      <c r="B23" s="102" t="s">
        <v>663</v>
      </c>
      <c r="C23" s="2887"/>
      <c r="D23" s="23"/>
      <c r="E23" s="104">
        <f>'Работы и услуги 2011г.'!E10*1.06</f>
        <v>143.80702000000002</v>
      </c>
      <c r="F23" s="104">
        <f>E23*I4</f>
        <v>21.197154748000003</v>
      </c>
      <c r="G23" s="104">
        <f>F23</f>
        <v>21.197154748000003</v>
      </c>
      <c r="J23" s="533">
        <f>SUM(E21:E23)+E7</f>
        <v>563.53820271186441</v>
      </c>
      <c r="K23" s="528"/>
    </row>
    <row r="24" spans="1:11" s="112" customFormat="1" ht="34.5" hidden="1" customHeight="1">
      <c r="A24" s="1635" t="s">
        <v>80</v>
      </c>
      <c r="B24" s="102" t="s">
        <v>648</v>
      </c>
      <c r="C24" s="2887"/>
      <c r="D24" s="1865"/>
      <c r="E24" s="104"/>
      <c r="F24" s="104"/>
      <c r="G24" s="104"/>
      <c r="K24" s="528">
        <f>(71.4+71+40+30)/1.18</f>
        <v>180.00000000000003</v>
      </c>
    </row>
    <row r="25" spans="1:11" s="119" customFormat="1" ht="28.5" hidden="1" customHeight="1">
      <c r="A25" s="1635" t="s">
        <v>81</v>
      </c>
      <c r="B25" s="550" t="s">
        <v>1431</v>
      </c>
      <c r="C25" s="2888"/>
      <c r="D25" s="551"/>
      <c r="E25" s="552"/>
      <c r="F25" s="552"/>
      <c r="G25" s="552"/>
      <c r="K25" s="553"/>
    </row>
    <row r="26" spans="1:11" s="94" customFormat="1" ht="34.5" customHeight="1">
      <c r="A26" s="1635" t="s">
        <v>83</v>
      </c>
      <c r="B26" s="102" t="s">
        <v>852</v>
      </c>
      <c r="C26" s="103" t="s">
        <v>231</v>
      </c>
      <c r="D26" s="219"/>
      <c r="E26" s="104">
        <v>0</v>
      </c>
      <c r="F26" s="104">
        <v>0</v>
      </c>
      <c r="G26" s="104">
        <f>59-9+70/1.18</f>
        <v>109.32203389830508</v>
      </c>
    </row>
    <row r="27" spans="1:11" s="94" customFormat="1" ht="33.75" customHeight="1">
      <c r="A27" s="1635" t="s">
        <v>220</v>
      </c>
      <c r="B27" s="102" t="s">
        <v>1421</v>
      </c>
      <c r="C27" s="221" t="s">
        <v>671</v>
      </c>
      <c r="D27" s="23" t="s">
        <v>1422</v>
      </c>
      <c r="E27" s="104">
        <v>30</v>
      </c>
      <c r="F27" s="104">
        <v>30</v>
      </c>
      <c r="G27" s="104">
        <v>30</v>
      </c>
    </row>
    <row r="28" spans="1:11" s="108" customFormat="1" ht="16.5" customHeight="1">
      <c r="A28" s="1636"/>
      <c r="B28" s="106" t="s">
        <v>640</v>
      </c>
      <c r="C28" s="106"/>
      <c r="D28" s="106"/>
      <c r="E28" s="107">
        <f>SUM(E7:E27)-E11</f>
        <v>4725.2083076271192</v>
      </c>
      <c r="F28" s="107">
        <f>SUM(F7:F27)-F11</f>
        <v>1017.0608736362374</v>
      </c>
      <c r="G28" s="107">
        <f>SUM(G7:G27)</f>
        <v>689.17951770403397</v>
      </c>
    </row>
    <row r="29" spans="1:11" s="108" customFormat="1" ht="18" customHeight="1">
      <c r="A29" s="1636"/>
      <c r="B29" s="543" t="s">
        <v>1619</v>
      </c>
      <c r="C29" s="106"/>
      <c r="D29" s="106"/>
      <c r="E29" s="546">
        <f>E7+E25</f>
        <v>345.98541999999998</v>
      </c>
      <c r="F29" s="546">
        <f>F7+F25</f>
        <v>345.98541999999998</v>
      </c>
      <c r="G29" s="546">
        <f>G7+G25</f>
        <v>345.98541999999998</v>
      </c>
    </row>
    <row r="30" spans="1:11" s="1882" customFormat="1" ht="18" customHeight="1">
      <c r="A30" s="1896" t="s">
        <v>266</v>
      </c>
      <c r="B30" s="1897"/>
      <c r="C30" s="1898"/>
      <c r="D30" s="1898"/>
      <c r="E30" s="1899"/>
      <c r="F30" s="1899"/>
      <c r="G30" s="1899"/>
    </row>
    <row r="31" spans="1:11" s="1882" customFormat="1" ht="18" customHeight="1">
      <c r="A31" s="1880" t="s">
        <v>1621</v>
      </c>
      <c r="B31" s="1897"/>
      <c r="C31" s="1898"/>
      <c r="D31" s="1898"/>
      <c r="E31" s="1899"/>
      <c r="F31" s="1899"/>
      <c r="G31" s="1899"/>
    </row>
    <row r="32" spans="1:11" s="55" customFormat="1" ht="22.5" customHeight="1">
      <c r="B32" s="1109" t="s">
        <v>1572</v>
      </c>
      <c r="C32" s="111"/>
      <c r="D32" s="111"/>
      <c r="E32" s="111"/>
      <c r="F32" s="111"/>
      <c r="G32" s="111"/>
    </row>
    <row r="33" spans="1:7">
      <c r="B33" s="55"/>
      <c r="C33"/>
      <c r="D33" s="547" t="s">
        <v>1404</v>
      </c>
      <c r="E33" s="816">
        <v>23092.288999999997</v>
      </c>
      <c r="F33" s="111" t="s">
        <v>1402</v>
      </c>
      <c r="G33" s="111"/>
    </row>
    <row r="34" spans="1:7" s="55" customFormat="1" ht="13.5" customHeight="1">
      <c r="C34" s="111"/>
      <c r="D34" s="547" t="s">
        <v>1405</v>
      </c>
      <c r="E34" s="816">
        <f>'[10]стр-ра пол.отп. 2014г.'!$B$23</f>
        <v>133980</v>
      </c>
      <c r="F34" s="111" t="s">
        <v>1402</v>
      </c>
      <c r="G34" s="111"/>
    </row>
    <row r="35" spans="1:7">
      <c r="B35" s="55"/>
      <c r="C35" s="55"/>
      <c r="D35" s="547" t="s">
        <v>1403</v>
      </c>
      <c r="E35" s="1666">
        <f>E33/(E33+E34)+0.0004</f>
        <v>0.14741695090214163</v>
      </c>
      <c r="F35" s="55"/>
    </row>
    <row r="36" spans="1:7">
      <c r="A36" s="59" t="s">
        <v>227</v>
      </c>
    </row>
    <row r="37" spans="1:7">
      <c r="A37" s="59" t="s">
        <v>236</v>
      </c>
    </row>
    <row r="47" spans="1:7">
      <c r="B47" s="42"/>
    </row>
  </sheetData>
  <mergeCells count="4">
    <mergeCell ref="C7:C20"/>
    <mergeCell ref="C21:C25"/>
    <mergeCell ref="A11:A12"/>
    <mergeCell ref="B11:B12"/>
  </mergeCells>
  <printOptions horizontalCentered="1"/>
  <pageMargins left="0.39370078740157483" right="0.39370078740157483" top="0.59055118110236227" bottom="3.937007874015748E-2" header="3.937007874015748E-2" footer="3.937007874015748E-2"/>
  <pageSetup paperSize="9" scale="77" orientation="landscape" r:id="rId1"/>
  <headerFooter alignWithMargins="0">
    <oddFooter xml:space="preserve">&amp;R
</oddFooter>
  </headerFooter>
  <colBreaks count="1" manualBreakCount="1">
    <brk id="7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7030A0"/>
  </sheetPr>
  <dimension ref="A1:M37"/>
  <sheetViews>
    <sheetView workbookViewId="0">
      <selection activeCell="C28" sqref="C28"/>
    </sheetView>
  </sheetViews>
  <sheetFormatPr defaultColWidth="9.109375" defaultRowHeight="15"/>
  <cols>
    <col min="1" max="1" width="4.5546875" style="1825" customWidth="1"/>
    <col min="2" max="2" width="63.33203125" style="1825" customWidth="1"/>
    <col min="3" max="3" width="25.6640625" style="1825" customWidth="1"/>
    <col min="4" max="4" width="39.5546875" style="1825" customWidth="1"/>
    <col min="5" max="5" width="15.6640625" style="1825" hidden="1" customWidth="1"/>
    <col min="6" max="6" width="19.5546875" style="1825" customWidth="1"/>
    <col min="7" max="7" width="18.33203125" style="1825" customWidth="1"/>
    <col min="8" max="16384" width="9.109375" style="1825"/>
  </cols>
  <sheetData>
    <row r="1" spans="1:13">
      <c r="A1" s="1849" t="s">
        <v>1625</v>
      </c>
      <c r="B1" s="1849"/>
      <c r="C1" s="1849"/>
      <c r="D1" s="1849"/>
      <c r="E1" s="1849"/>
      <c r="F1" s="1849"/>
    </row>
    <row r="2" spans="1:13" ht="25.5" customHeight="1">
      <c r="A2" s="2340" t="s">
        <v>1631</v>
      </c>
      <c r="B2" s="2340"/>
      <c r="C2" s="2340"/>
      <c r="D2" s="2340"/>
      <c r="E2" s="1849"/>
      <c r="F2" s="1849"/>
    </row>
    <row r="3" spans="1:13">
      <c r="A3" s="2341"/>
      <c r="B3" s="2341"/>
      <c r="C3" s="2341"/>
      <c r="D3" s="2341"/>
      <c r="E3" s="1826"/>
      <c r="F3" s="1826"/>
    </row>
    <row r="4" spans="1:13" s="1717" customFormat="1" ht="35.25" customHeight="1">
      <c r="A4" s="1850" t="s">
        <v>229</v>
      </c>
      <c r="B4" s="1851" t="s">
        <v>645</v>
      </c>
      <c r="C4" s="1851" t="s">
        <v>227</v>
      </c>
      <c r="D4" s="1851" t="s">
        <v>228</v>
      </c>
      <c r="E4" s="1852" t="s">
        <v>1252</v>
      </c>
      <c r="F4" s="2339" t="s">
        <v>1252</v>
      </c>
      <c r="G4" s="1900" t="s">
        <v>1634</v>
      </c>
      <c r="H4" s="1836" t="s">
        <v>1139</v>
      </c>
      <c r="I4" s="1837">
        <v>0.1474</v>
      </c>
      <c r="J4" s="1838"/>
      <c r="K4" s="1838"/>
      <c r="L4" s="1834"/>
      <c r="M4" s="1834"/>
    </row>
    <row r="5" spans="1:13" s="1717" customFormat="1" ht="21" customHeight="1">
      <c r="A5" s="1850"/>
      <c r="B5" s="1851"/>
      <c r="C5" s="1851"/>
      <c r="D5" s="1851"/>
      <c r="E5" s="1853" t="s">
        <v>84</v>
      </c>
      <c r="F5" s="1853" t="s">
        <v>84</v>
      </c>
      <c r="G5" s="98" t="s">
        <v>84</v>
      </c>
      <c r="H5" s="1836" t="s">
        <v>1500</v>
      </c>
      <c r="I5" s="1837">
        <v>0.13522048478160686</v>
      </c>
      <c r="J5" s="1838" t="s">
        <v>1558</v>
      </c>
      <c r="K5" s="1838"/>
      <c r="L5" s="1834"/>
      <c r="M5" s="1834"/>
    </row>
    <row r="6" spans="1:13" s="1717" customFormat="1" ht="13.8">
      <c r="A6" s="1854" t="s">
        <v>1617</v>
      </c>
      <c r="B6" s="1855"/>
      <c r="C6" s="1855"/>
      <c r="D6" s="1856"/>
      <c r="E6" s="1856"/>
      <c r="F6" s="1856"/>
      <c r="G6" s="1856"/>
      <c r="H6" s="1836" t="s">
        <v>1836</v>
      </c>
      <c r="I6" s="1837">
        <f>21287.15/172043.17</f>
        <v>0.12373144484608137</v>
      </c>
      <c r="J6" s="1838"/>
      <c r="K6" s="1838"/>
      <c r="L6" s="1834"/>
      <c r="M6" s="1834"/>
    </row>
    <row r="7" spans="1:13" s="1919" customFormat="1" ht="26.4">
      <c r="A7" s="1914">
        <v>1</v>
      </c>
      <c r="B7" s="1915" t="s">
        <v>1633</v>
      </c>
      <c r="C7" s="1916" t="s">
        <v>1632</v>
      </c>
      <c r="D7" s="1917" t="s">
        <v>1635</v>
      </c>
      <c r="E7" s="1918"/>
      <c r="F7" s="1918">
        <f>3165.06/1.18</f>
        <v>2682.2542372881358</v>
      </c>
      <c r="G7" s="1922">
        <f>F7</f>
        <v>2682.2542372881358</v>
      </c>
      <c r="H7" s="1836">
        <v>2016</v>
      </c>
      <c r="I7" s="1837">
        <f>'П1.30 -2020г., 1 и 2 п-е'!G9/('П1.30 -2020г., 1 и 2 п-е'!G9+'2016 тсо кроме мрск'!B60+'2016 тсо НК Энергосб'!B60)</f>
        <v>0.94164496074968507</v>
      </c>
      <c r="J7" s="1837">
        <f>22365.349/(22365.349+150756.021+1416.13)</f>
        <v>0.12814065172240921</v>
      </c>
      <c r="K7" s="1920"/>
    </row>
    <row r="8" spans="1:13" s="1919" customFormat="1" ht="26.4">
      <c r="A8" s="1914">
        <f>A7+1</f>
        <v>2</v>
      </c>
      <c r="B8" s="1915" t="s">
        <v>1636</v>
      </c>
      <c r="C8" s="1921" t="s">
        <v>1637</v>
      </c>
      <c r="D8" s="1917" t="s">
        <v>1638</v>
      </c>
      <c r="E8" s="1918"/>
      <c r="F8" s="1918">
        <f>466.05262/1.18</f>
        <v>394.95984745762712</v>
      </c>
      <c r="G8" s="1922">
        <f>F8*$I$6</f>
        <v>48.868952582120102</v>
      </c>
      <c r="K8" s="1920"/>
    </row>
    <row r="9" spans="1:13" s="1919" customFormat="1" ht="39.6">
      <c r="A9" s="1914">
        <f>A8+1</f>
        <v>3</v>
      </c>
      <c r="B9" s="1915" t="s">
        <v>1652</v>
      </c>
      <c r="C9" s="1916" t="s">
        <v>1639</v>
      </c>
      <c r="D9" s="1917" t="s">
        <v>1640</v>
      </c>
      <c r="E9" s="1918"/>
      <c r="F9" s="1918">
        <f>499.99609</f>
        <v>499.99608999999998</v>
      </c>
      <c r="G9" s="1922">
        <f t="shared" ref="G9:G13" si="0">F9*$I$6</f>
        <v>61.86523863309133</v>
      </c>
      <c r="K9" s="1920"/>
    </row>
    <row r="10" spans="1:13" s="1919" customFormat="1" ht="26.4">
      <c r="A10" s="1914">
        <v>4</v>
      </c>
      <c r="B10" s="1915" t="s">
        <v>1641</v>
      </c>
      <c r="C10" s="1916" t="s">
        <v>1613</v>
      </c>
      <c r="D10" s="1917" t="s">
        <v>1642</v>
      </c>
      <c r="E10" s="1918"/>
      <c r="F10" s="1918">
        <f>104.1468/1.18</f>
        <v>88.26</v>
      </c>
      <c r="G10" s="1922">
        <f t="shared" si="0"/>
        <v>10.920537322115143</v>
      </c>
      <c r="K10" s="1920"/>
    </row>
    <row r="11" spans="1:13" s="1919" customFormat="1" ht="39.6">
      <c r="A11" s="1914">
        <v>5</v>
      </c>
      <c r="B11" s="1915" t="s">
        <v>1643</v>
      </c>
      <c r="C11" s="1916" t="s">
        <v>1644</v>
      </c>
      <c r="D11" s="1917" t="s">
        <v>1645</v>
      </c>
      <c r="E11" s="1918"/>
      <c r="F11" s="1918">
        <f>208.88723/1.18</f>
        <v>177.02307627118643</v>
      </c>
      <c r="G11" s="1922">
        <f t="shared" si="0"/>
        <v>21.90332099813196</v>
      </c>
      <c r="K11" s="1920"/>
    </row>
    <row r="12" spans="1:13" s="1919" customFormat="1" ht="18" customHeight="1">
      <c r="A12" s="1914">
        <v>6</v>
      </c>
      <c r="B12" s="1915" t="s">
        <v>1646</v>
      </c>
      <c r="C12" s="1916" t="s">
        <v>1647</v>
      </c>
      <c r="D12" s="1917" t="s">
        <v>1648</v>
      </c>
      <c r="E12" s="1918"/>
      <c r="F12" s="1918">
        <f>482.0418/1.18</f>
        <v>408.51000000000005</v>
      </c>
      <c r="G12" s="1922">
        <f t="shared" si="0"/>
        <v>50.545532534072706</v>
      </c>
      <c r="K12" s="1920"/>
    </row>
    <row r="13" spans="1:13" s="1919" customFormat="1" ht="26.4">
      <c r="A13" s="1914">
        <v>7</v>
      </c>
      <c r="B13" s="1915" t="s">
        <v>1649</v>
      </c>
      <c r="C13" s="1921" t="s">
        <v>1637</v>
      </c>
      <c r="D13" s="1917" t="s">
        <v>1650</v>
      </c>
      <c r="E13" s="1918"/>
      <c r="F13" s="1918">
        <f>499.91356/1.18</f>
        <v>423.65555932203392</v>
      </c>
      <c r="G13" s="1922">
        <f t="shared" si="0"/>
        <v>52.419514471989991</v>
      </c>
      <c r="K13" s="1920"/>
    </row>
    <row r="14" spans="1:13" s="1919" customFormat="1" ht="18" hidden="1" customHeight="1">
      <c r="A14" s="1914"/>
      <c r="B14" s="1915"/>
      <c r="C14" s="1916"/>
      <c r="D14" s="1917"/>
      <c r="E14" s="1918"/>
      <c r="F14" s="1918"/>
      <c r="G14" s="1918"/>
      <c r="K14" s="1920"/>
    </row>
    <row r="15" spans="1:13" s="1919" customFormat="1" ht="18" hidden="1" customHeight="1">
      <c r="A15" s="1914"/>
      <c r="B15" s="1915"/>
      <c r="C15" s="1916"/>
      <c r="D15" s="1917"/>
      <c r="E15" s="1918"/>
      <c r="F15" s="1918"/>
      <c r="G15" s="1918"/>
      <c r="K15" s="1920"/>
    </row>
    <row r="16" spans="1:13" s="1919" customFormat="1" ht="18" hidden="1" customHeight="1">
      <c r="A16" s="1914"/>
      <c r="B16" s="1915"/>
      <c r="C16" s="1916"/>
      <c r="D16" s="1917"/>
      <c r="E16" s="1918"/>
      <c r="F16" s="1918"/>
      <c r="G16" s="1918"/>
      <c r="K16" s="1920"/>
    </row>
    <row r="17" spans="1:13" s="1717" customFormat="1" ht="13.8" hidden="1">
      <c r="A17" s="1854" t="s">
        <v>1626</v>
      </c>
      <c r="B17" s="1855"/>
      <c r="C17" s="1855"/>
      <c r="D17" s="1856"/>
      <c r="E17" s="1856"/>
      <c r="F17" s="1856"/>
      <c r="G17" s="1856"/>
      <c r="H17" s="1836" t="s">
        <v>1557</v>
      </c>
      <c r="I17" s="1837">
        <f>'П1.30 -2020г., 1 и 2 п-е'!AG10</f>
        <v>0</v>
      </c>
      <c r="J17" s="1838"/>
      <c r="K17" s="1838"/>
      <c r="L17" s="1834"/>
      <c r="M17" s="1834"/>
    </row>
    <row r="18" spans="1:13" s="1511" customFormat="1" ht="24" hidden="1" customHeight="1">
      <c r="A18" s="1827">
        <f>A9+1</f>
        <v>4</v>
      </c>
      <c r="B18" s="1847"/>
      <c r="C18" s="2892"/>
      <c r="D18" s="1840"/>
      <c r="E18" s="1841"/>
      <c r="F18" s="1841"/>
      <c r="G18" s="1841"/>
      <c r="H18" s="1839"/>
      <c r="I18" s="1839"/>
      <c r="J18" s="1839"/>
      <c r="K18" s="1839"/>
      <c r="L18" s="1835"/>
      <c r="M18" s="1835"/>
    </row>
    <row r="19" spans="1:13" s="1828" customFormat="1" ht="24.75" hidden="1" customHeight="1">
      <c r="A19" s="1827">
        <f>A18+1</f>
        <v>5</v>
      </c>
      <c r="B19" s="1847"/>
      <c r="C19" s="2893"/>
      <c r="D19" s="1840"/>
      <c r="E19" s="1841"/>
      <c r="F19" s="1841"/>
      <c r="G19" s="1841"/>
      <c r="K19" s="1829"/>
    </row>
    <row r="20" spans="1:13" s="1828" customFormat="1" ht="28.5" hidden="1" customHeight="1">
      <c r="A20" s="1827">
        <f t="shared" ref="A20:A24" si="1">A19+1</f>
        <v>6</v>
      </c>
      <c r="B20" s="1847"/>
      <c r="C20" s="2894"/>
      <c r="D20" s="1840"/>
      <c r="E20" s="1841"/>
      <c r="F20" s="1841"/>
      <c r="G20" s="1841"/>
      <c r="I20" s="1830"/>
      <c r="K20" s="1829"/>
    </row>
    <row r="21" spans="1:13" s="1828" customFormat="1" ht="42.75" hidden="1" customHeight="1">
      <c r="A21" s="1827">
        <f t="shared" si="1"/>
        <v>7</v>
      </c>
      <c r="B21" s="1847"/>
      <c r="C21" s="1845"/>
      <c r="D21" s="1840"/>
      <c r="E21" s="1841"/>
      <c r="F21" s="1841"/>
      <c r="G21" s="1841"/>
      <c r="K21" s="1829"/>
    </row>
    <row r="22" spans="1:13" s="1828" customFormat="1" ht="39.75" hidden="1" customHeight="1">
      <c r="A22" s="1827">
        <f t="shared" si="1"/>
        <v>8</v>
      </c>
      <c r="B22" s="1858"/>
      <c r="C22" s="1913"/>
      <c r="D22" s="1903"/>
      <c r="E22" s="1901"/>
      <c r="F22" s="1901"/>
      <c r="G22" s="1901"/>
      <c r="K22" s="1829"/>
    </row>
    <row r="23" spans="1:13" s="1828" customFormat="1" ht="23.25" hidden="1" customHeight="1">
      <c r="A23" s="1827">
        <f t="shared" si="1"/>
        <v>9</v>
      </c>
      <c r="B23" s="1859"/>
      <c r="C23" s="1860"/>
      <c r="D23" s="1904"/>
      <c r="E23" s="1905"/>
      <c r="F23" s="1905"/>
      <c r="G23" s="1902"/>
      <c r="K23" s="1829"/>
    </row>
    <row r="24" spans="1:13" s="1828" customFormat="1" ht="13.8" hidden="1">
      <c r="A24" s="1827">
        <f t="shared" si="1"/>
        <v>10</v>
      </c>
      <c r="B24" s="1847"/>
      <c r="C24" s="1845"/>
      <c r="D24" s="1840"/>
      <c r="E24" s="1841"/>
      <c r="F24" s="1841"/>
      <c r="G24" s="1841"/>
      <c r="J24" s="1830">
        <f>SUM(F23:F24)+F18</f>
        <v>0</v>
      </c>
      <c r="K24" s="1829"/>
    </row>
    <row r="25" spans="1:13" s="1828" customFormat="1" ht="34.5" hidden="1" customHeight="1">
      <c r="A25" s="1827" t="s">
        <v>82</v>
      </c>
      <c r="B25" s="1847"/>
      <c r="C25" s="1845"/>
      <c r="D25" s="1842"/>
      <c r="E25" s="1841"/>
      <c r="F25" s="1841"/>
      <c r="G25" s="1841"/>
      <c r="K25" s="1829">
        <f>(71.4+71+40+30)/1.18</f>
        <v>180.00000000000003</v>
      </c>
    </row>
    <row r="26" spans="1:13" s="1712" customFormat="1" ht="28.5" hidden="1" customHeight="1">
      <c r="A26" s="1827" t="s">
        <v>83</v>
      </c>
      <c r="B26" s="1848"/>
      <c r="C26" s="1845"/>
      <c r="D26" s="1843"/>
      <c r="E26" s="1844"/>
      <c r="F26" s="1844"/>
      <c r="G26" s="1844"/>
      <c r="K26" s="1831"/>
    </row>
    <row r="27" spans="1:13" s="1511" customFormat="1" ht="42" hidden="1" customHeight="1">
      <c r="A27" s="1827">
        <f>A24+1</f>
        <v>11</v>
      </c>
      <c r="B27" s="1847"/>
      <c r="C27" s="1845"/>
      <c r="D27" s="1845"/>
      <c r="E27" s="1841"/>
      <c r="F27" s="1841"/>
      <c r="G27" s="1841"/>
    </row>
    <row r="28" spans="1:13" s="1511" customFormat="1" ht="57.75" hidden="1" customHeight="1">
      <c r="A28" s="1827">
        <f>A27+1</f>
        <v>12</v>
      </c>
      <c r="B28" s="1847"/>
      <c r="C28" s="1846"/>
      <c r="D28" s="1840"/>
      <c r="E28" s="1841"/>
      <c r="F28" s="1841"/>
      <c r="G28" s="1841"/>
    </row>
    <row r="29" spans="1:13" s="1711" customFormat="1" ht="26.25" customHeight="1">
      <c r="A29" s="1832"/>
      <c r="B29" s="1833" t="s">
        <v>1651</v>
      </c>
      <c r="C29" s="1833"/>
      <c r="D29" s="1833"/>
      <c r="E29" s="1857">
        <f>SUM(E7:E28)</f>
        <v>0</v>
      </c>
      <c r="F29" s="1857">
        <f>SUM(F7:F28)</f>
        <v>4674.6588103389831</v>
      </c>
      <c r="G29" s="1857">
        <f>SUM(G7:G28)</f>
        <v>2928.7773338296574</v>
      </c>
    </row>
    <row r="30" spans="1:13">
      <c r="A30" s="1826" t="s">
        <v>266</v>
      </c>
      <c r="I30" s="1711" t="s">
        <v>1570</v>
      </c>
      <c r="J30" s="1711"/>
    </row>
    <row r="31" spans="1:13">
      <c r="A31" s="1826" t="s">
        <v>1835</v>
      </c>
      <c r="I31" s="1711" t="s">
        <v>1571</v>
      </c>
    </row>
    <row r="32" spans="1:13">
      <c r="A32" s="1826" t="s">
        <v>1837</v>
      </c>
      <c r="I32" s="1893">
        <f>(9777.22+10620.03+1738.25)/163699.28</f>
        <v>0.13522050921665629</v>
      </c>
    </row>
    <row r="34" spans="1:10" s="1826" customFormat="1" ht="13.2"/>
    <row r="35" spans="1:10" s="17" customFormat="1" ht="15.6">
      <c r="A35" s="51" t="s">
        <v>227</v>
      </c>
      <c r="J35" s="124"/>
    </row>
    <row r="36" spans="1:10" s="17" customFormat="1" ht="15.6">
      <c r="A36" s="51" t="s">
        <v>236</v>
      </c>
      <c r="J36" s="124"/>
    </row>
    <row r="37" spans="1:10">
      <c r="C37" s="1912"/>
    </row>
  </sheetData>
  <mergeCells count="1">
    <mergeCell ref="C18:C20"/>
  </mergeCells>
  <printOptions horizontalCentered="1"/>
  <pageMargins left="0.11811023622047245" right="0.11811023622047245" top="0.39370078740157483" bottom="0.11811023622047245" header="0.31496062992125984" footer="3.937007874015748E-2"/>
  <pageSetup paperSize="9" scale="81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7030A0"/>
  </sheetPr>
  <dimension ref="A1:N55"/>
  <sheetViews>
    <sheetView zoomScaleNormal="100" workbookViewId="0">
      <pane ySplit="14" topLeftCell="A15" activePane="bottomLeft" state="frozenSplit"/>
      <selection activeCell="C28" sqref="C28"/>
      <selection pane="bottomLeft" activeCell="C28" sqref="C28"/>
    </sheetView>
  </sheetViews>
  <sheetFormatPr defaultColWidth="9.109375" defaultRowHeight="15.6"/>
  <cols>
    <col min="1" max="1" width="12" style="17" customWidth="1"/>
    <col min="2" max="2" width="33.109375" style="17" customWidth="1"/>
    <col min="3" max="3" width="25.44140625" style="17" customWidth="1"/>
    <col min="4" max="4" width="19.5546875" style="17" customWidth="1"/>
    <col min="5" max="5" width="54" style="17" customWidth="1"/>
    <col min="6" max="6" width="19.44140625" style="17" customWidth="1"/>
    <col min="7" max="7" width="12.44140625" style="17" hidden="1" customWidth="1"/>
    <col min="8" max="8" width="16.88671875" style="17" hidden="1" customWidth="1"/>
    <col min="9" max="9" width="16.5546875" style="17" hidden="1" customWidth="1"/>
    <col min="10" max="10" width="19.109375" style="124" customWidth="1"/>
    <col min="11" max="11" width="15.44140625" style="17" customWidth="1"/>
    <col min="12" max="12" width="11.33203125" style="17" bestFit="1" customWidth="1"/>
    <col min="13" max="16384" width="9.109375" style="17"/>
  </cols>
  <sheetData>
    <row r="1" spans="1:13" ht="34.5" customHeight="1">
      <c r="A1" s="500" t="s">
        <v>1804</v>
      </c>
      <c r="B1" s="50"/>
      <c r="C1" s="50"/>
      <c r="D1" s="50"/>
      <c r="E1" s="50"/>
      <c r="F1" s="50"/>
      <c r="G1" s="50"/>
      <c r="H1" s="50"/>
      <c r="I1" s="50"/>
      <c r="J1" s="501"/>
      <c r="K1" s="38"/>
    </row>
    <row r="2" spans="1:13" ht="15.75" customHeight="1">
      <c r="A2" s="500"/>
      <c r="B2" s="50"/>
      <c r="C2" s="50"/>
      <c r="D2" s="50"/>
      <c r="E2" s="50"/>
      <c r="F2" s="50"/>
      <c r="G2" s="50"/>
      <c r="H2" s="50"/>
      <c r="I2" s="50"/>
      <c r="J2" s="501"/>
      <c r="K2" s="38"/>
    </row>
    <row r="3" spans="1:13" s="1880" customFormat="1">
      <c r="A3" s="2183" t="s">
        <v>1573</v>
      </c>
      <c r="B3" s="2184"/>
      <c r="C3" s="2156"/>
      <c r="D3" s="2156"/>
      <c r="E3" s="2156"/>
      <c r="F3" s="2156"/>
      <c r="G3" s="2157"/>
      <c r="H3" s="2157"/>
      <c r="I3" s="2158"/>
      <c r="J3" s="2159"/>
      <c r="K3" s="2160"/>
    </row>
    <row r="4" spans="1:13" s="1880" customFormat="1">
      <c r="A4" s="1879" t="s">
        <v>1575</v>
      </c>
      <c r="K4" s="2161"/>
    </row>
    <row r="5" spans="1:13" s="1880" customFormat="1" ht="18.75" customHeight="1">
      <c r="A5" s="1879" t="s">
        <v>1773</v>
      </c>
      <c r="B5" s="2162"/>
      <c r="C5" s="2163"/>
      <c r="D5" s="2164"/>
      <c r="E5" s="2163"/>
      <c r="F5" s="2165"/>
      <c r="G5" s="2122"/>
      <c r="H5" s="2122"/>
      <c r="I5" s="2165"/>
      <c r="J5" s="2159"/>
      <c r="K5" s="2160"/>
    </row>
    <row r="6" spans="1:13" s="1880" customFormat="1" ht="16.5" customHeight="1">
      <c r="A6" s="1879" t="s">
        <v>1796</v>
      </c>
      <c r="B6" s="2162"/>
      <c r="C6" s="2163"/>
      <c r="D6" s="2164"/>
      <c r="E6" s="2163"/>
      <c r="F6" s="2165"/>
      <c r="G6" s="2122"/>
      <c r="H6" s="2122"/>
      <c r="I6" s="2165"/>
      <c r="J6" s="2159"/>
      <c r="K6" s="2160"/>
    </row>
    <row r="7" spans="1:13" s="1880" customFormat="1">
      <c r="A7" s="1879" t="s">
        <v>1798</v>
      </c>
      <c r="K7" s="1883"/>
    </row>
    <row r="8" spans="1:13" s="1880" customFormat="1">
      <c r="A8" s="1879" t="s">
        <v>1797</v>
      </c>
      <c r="K8" s="1883"/>
    </row>
    <row r="9" spans="1:13" s="1880" customFormat="1">
      <c r="A9" s="1880" t="s">
        <v>1802</v>
      </c>
      <c r="J9" s="1884"/>
    </row>
    <row r="10" spans="1:13" s="1880" customFormat="1" ht="13.5" customHeight="1">
      <c r="A10" s="1880" t="s">
        <v>1803</v>
      </c>
      <c r="J10" s="1881">
        <f>'Реестр всп.мат.2013пром.'!F36</f>
        <v>1157.2545300000002</v>
      </c>
      <c r="K10" s="1882" t="s">
        <v>84</v>
      </c>
    </row>
    <row r="11" spans="1:13" s="2059" customFormat="1" ht="17.25" customHeight="1">
      <c r="A11" s="2059" t="s">
        <v>1841</v>
      </c>
      <c r="F11" s="2342"/>
      <c r="G11" s="2343" t="s">
        <v>868</v>
      </c>
      <c r="J11" s="2342">
        <f>'Реестр всп.мат.2013пром.'!D38</f>
        <v>1248.6776378700001</v>
      </c>
      <c r="K11" s="2343" t="s">
        <v>84</v>
      </c>
    </row>
    <row r="12" spans="1:13" s="1880" customFormat="1" ht="12" customHeight="1">
      <c r="B12" s="1881"/>
      <c r="C12" s="1882"/>
      <c r="J12" s="1884"/>
    </row>
    <row r="13" spans="1:13" s="1880" customFormat="1">
      <c r="A13" s="2183" t="s">
        <v>1740</v>
      </c>
      <c r="B13" s="2184"/>
      <c r="C13" s="2156"/>
      <c r="D13" s="2156"/>
      <c r="E13" s="2156"/>
      <c r="F13" s="2156"/>
      <c r="G13" s="2157"/>
      <c r="H13" s="2157"/>
      <c r="I13" s="2158"/>
      <c r="J13" s="2159"/>
      <c r="K13" s="2160"/>
    </row>
    <row r="14" spans="1:13" ht="31.2">
      <c r="A14" s="44" t="s">
        <v>229</v>
      </c>
      <c r="B14" s="504" t="s">
        <v>631</v>
      </c>
      <c r="C14" s="504" t="s">
        <v>1581</v>
      </c>
      <c r="D14" s="504" t="s">
        <v>632</v>
      </c>
      <c r="E14" s="504" t="s">
        <v>1775</v>
      </c>
      <c r="F14" s="505" t="s">
        <v>1791</v>
      </c>
      <c r="G14" s="504" t="s">
        <v>632</v>
      </c>
      <c r="H14" s="504" t="s">
        <v>246</v>
      </c>
      <c r="I14" s="505" t="s">
        <v>1574</v>
      </c>
      <c r="J14" s="506"/>
      <c r="K14" s="47"/>
    </row>
    <row r="15" spans="1:13">
      <c r="A15" s="1097" t="s">
        <v>1776</v>
      </c>
      <c r="B15" s="1098"/>
      <c r="C15" s="1098"/>
      <c r="D15" s="1098"/>
      <c r="E15" s="1098"/>
      <c r="F15" s="1098"/>
      <c r="G15" s="1098"/>
      <c r="H15" s="1098"/>
      <c r="I15" s="1099"/>
      <c r="J15" s="506"/>
      <c r="K15" s="47"/>
    </row>
    <row r="16" spans="1:13" s="512" customFormat="1">
      <c r="A16" s="2171" t="s">
        <v>76</v>
      </c>
      <c r="B16" s="2196" t="s">
        <v>1806</v>
      </c>
      <c r="C16" s="2076" t="s">
        <v>1586</v>
      </c>
      <c r="D16" s="2195" t="s">
        <v>1807</v>
      </c>
      <c r="E16" s="509" t="s">
        <v>1808</v>
      </c>
      <c r="F16" s="2077">
        <f>551953.58</f>
        <v>551953.57999999996</v>
      </c>
      <c r="G16" s="1867"/>
      <c r="H16" s="219"/>
      <c r="I16" s="517"/>
      <c r="J16" s="510"/>
      <c r="L16" s="2173"/>
      <c r="M16" s="2173"/>
    </row>
    <row r="17" spans="1:13" s="512" customFormat="1">
      <c r="A17" s="2898" t="s">
        <v>77</v>
      </c>
      <c r="B17" s="2901" t="s">
        <v>1809</v>
      </c>
      <c r="C17" s="2895" t="s">
        <v>1810</v>
      </c>
      <c r="D17" s="2195" t="s">
        <v>1812</v>
      </c>
      <c r="E17" s="2872" t="s">
        <v>1811</v>
      </c>
      <c r="F17" s="2077">
        <v>9078.81</v>
      </c>
      <c r="G17" s="1867"/>
      <c r="H17" s="219"/>
      <c r="I17" s="517"/>
      <c r="J17" s="510"/>
      <c r="L17" s="2173"/>
      <c r="M17" s="2173"/>
    </row>
    <row r="18" spans="1:13" s="512" customFormat="1">
      <c r="A18" s="2899"/>
      <c r="B18" s="2902"/>
      <c r="C18" s="2896"/>
      <c r="D18" s="2195" t="s">
        <v>1813</v>
      </c>
      <c r="E18" s="2880"/>
      <c r="F18" s="2077">
        <v>12127.12</v>
      </c>
      <c r="G18" s="1867"/>
      <c r="H18" s="219"/>
      <c r="I18" s="517"/>
      <c r="J18" s="510"/>
      <c r="L18" s="2173"/>
      <c r="M18" s="2173"/>
    </row>
    <row r="19" spans="1:13" s="512" customFormat="1">
      <c r="A19" s="2899"/>
      <c r="B19" s="2902"/>
      <c r="C19" s="2897"/>
      <c r="D19" s="2195" t="s">
        <v>1814</v>
      </c>
      <c r="E19" s="2880"/>
      <c r="F19" s="2077">
        <v>4847.5</v>
      </c>
      <c r="G19" s="1867"/>
      <c r="H19" s="219"/>
      <c r="I19" s="517"/>
      <c r="J19" s="510"/>
      <c r="L19" s="2173"/>
      <c r="M19" s="2173"/>
    </row>
    <row r="20" spans="1:13" s="512" customFormat="1">
      <c r="A20" s="2900"/>
      <c r="B20" s="2903"/>
      <c r="C20" s="2076" t="s">
        <v>1815</v>
      </c>
      <c r="D20" s="2195" t="s">
        <v>1816</v>
      </c>
      <c r="E20" s="2873"/>
      <c r="F20" s="2077">
        <v>97057.63</v>
      </c>
      <c r="G20" s="1867"/>
      <c r="H20" s="219"/>
      <c r="I20" s="517"/>
      <c r="J20" s="510"/>
      <c r="L20" s="2173"/>
      <c r="M20" s="2173"/>
    </row>
    <row r="21" spans="1:13" s="512" customFormat="1" ht="40.200000000000003">
      <c r="A21" s="2171" t="s">
        <v>78</v>
      </c>
      <c r="B21" s="2196" t="s">
        <v>1741</v>
      </c>
      <c r="C21" s="2076" t="s">
        <v>1779</v>
      </c>
      <c r="D21" s="2195" t="s">
        <v>1805</v>
      </c>
      <c r="E21" s="509"/>
      <c r="F21" s="2077">
        <f>127028/1.18</f>
        <v>107650.84745762713</v>
      </c>
      <c r="G21" s="1867"/>
      <c r="H21" s="219"/>
      <c r="I21" s="517"/>
      <c r="J21" s="510"/>
      <c r="L21" s="2173">
        <v>127018</v>
      </c>
      <c r="M21" s="2173" t="s">
        <v>225</v>
      </c>
    </row>
    <row r="22" spans="1:13">
      <c r="A22" s="2180" t="s">
        <v>158</v>
      </c>
      <c r="B22" s="2181"/>
      <c r="C22" s="509"/>
      <c r="D22" s="508"/>
      <c r="E22" s="509"/>
      <c r="F22" s="517">
        <f>SUM(F16:F21)</f>
        <v>782715.4874576272</v>
      </c>
      <c r="G22" s="1629"/>
      <c r="H22" s="2182"/>
      <c r="I22" s="517">
        <f>SUM(I10:I21)</f>
        <v>0</v>
      </c>
      <c r="J22" s="1881">
        <f>F22/1000*2</f>
        <v>1565.4309749152544</v>
      </c>
      <c r="K22" s="1882" t="s">
        <v>84</v>
      </c>
    </row>
    <row r="23" spans="1:13">
      <c r="A23" s="1097" t="s">
        <v>1780</v>
      </c>
      <c r="B23" s="1098"/>
      <c r="C23" s="1098"/>
      <c r="D23" s="1098"/>
      <c r="E23" s="1098"/>
      <c r="F23" s="1098"/>
      <c r="G23" s="1098"/>
      <c r="H23" s="1098"/>
      <c r="I23" s="1099"/>
      <c r="J23" s="1881">
        <f>J22*1.049</f>
        <v>1642.1370926861018</v>
      </c>
      <c r="K23" s="1882" t="s">
        <v>84</v>
      </c>
    </row>
    <row r="24" spans="1:13" s="512" customFormat="1" ht="27">
      <c r="A24" s="2898" t="s">
        <v>77</v>
      </c>
      <c r="B24" s="2906" t="s">
        <v>1765</v>
      </c>
      <c r="C24" s="2076" t="s">
        <v>1785</v>
      </c>
      <c r="D24" s="1867">
        <v>41206</v>
      </c>
      <c r="E24" s="2872" t="s">
        <v>1781</v>
      </c>
      <c r="F24" s="517">
        <v>282236.7</v>
      </c>
      <c r="G24" s="1867"/>
      <c r="H24" s="509"/>
      <c r="I24" s="517"/>
      <c r="J24" s="520"/>
      <c r="K24" s="511"/>
    </row>
    <row r="25" spans="1:13" s="512" customFormat="1" ht="27">
      <c r="A25" s="2904"/>
      <c r="B25" s="2884"/>
      <c r="C25" s="2076" t="s">
        <v>1782</v>
      </c>
      <c r="D25" s="1867">
        <v>41208</v>
      </c>
      <c r="E25" s="2880"/>
      <c r="F25" s="517">
        <v>810</v>
      </c>
      <c r="G25" s="1867"/>
      <c r="H25" s="219"/>
      <c r="I25" s="517"/>
      <c r="J25" s="510"/>
      <c r="K25" s="511"/>
    </row>
    <row r="26" spans="1:13" s="512" customFormat="1" ht="27">
      <c r="A26" s="2904"/>
      <c r="B26" s="2884"/>
      <c r="C26" s="2076" t="s">
        <v>1783</v>
      </c>
      <c r="D26" s="1867">
        <v>41206</v>
      </c>
      <c r="E26" s="2880"/>
      <c r="F26" s="517">
        <v>12400</v>
      </c>
      <c r="G26" s="1867"/>
      <c r="H26" s="219"/>
      <c r="I26" s="517"/>
      <c r="J26" s="510"/>
      <c r="K26" s="511"/>
    </row>
    <row r="27" spans="1:13" s="512" customFormat="1">
      <c r="A27" s="2904"/>
      <c r="B27" s="2884"/>
      <c r="C27" s="2076" t="s">
        <v>1784</v>
      </c>
      <c r="D27" s="1867">
        <v>41206</v>
      </c>
      <c r="E27" s="2880"/>
      <c r="F27" s="517">
        <v>2063.2800000000002</v>
      </c>
      <c r="G27" s="1867"/>
      <c r="H27" s="219"/>
      <c r="I27" s="517"/>
      <c r="J27" s="510"/>
      <c r="K27" s="511"/>
    </row>
    <row r="28" spans="1:13" s="512" customFormat="1" ht="27">
      <c r="A28" s="2905"/>
      <c r="B28" s="2885"/>
      <c r="C28" s="2076" t="s">
        <v>1786</v>
      </c>
      <c r="D28" s="1867">
        <v>41172</v>
      </c>
      <c r="E28" s="2873"/>
      <c r="F28" s="517">
        <v>729402</v>
      </c>
      <c r="G28" s="1867"/>
      <c r="H28" s="219"/>
      <c r="I28" s="517"/>
      <c r="J28" s="510"/>
      <c r="K28" s="511"/>
    </row>
    <row r="29" spans="1:13" s="512" customFormat="1" ht="15" customHeight="1">
      <c r="A29" s="2176"/>
      <c r="B29" s="2177"/>
      <c r="C29" s="2170" t="s">
        <v>248</v>
      </c>
      <c r="D29" s="1867"/>
      <c r="E29" s="509"/>
      <c r="F29" s="517">
        <f>SUM(F24:F28)</f>
        <v>1026911.98</v>
      </c>
      <c r="G29" s="2167"/>
      <c r="H29" s="2168"/>
      <c r="I29" s="2169"/>
      <c r="J29" s="2178"/>
      <c r="K29" s="2179"/>
    </row>
    <row r="30" spans="1:13" hidden="1">
      <c r="A30" s="1097" t="s">
        <v>1777</v>
      </c>
      <c r="B30" s="1098"/>
      <c r="C30" s="1098"/>
      <c r="D30" s="1098"/>
      <c r="E30" s="1098"/>
      <c r="F30" s="1098"/>
      <c r="G30" s="1098"/>
      <c r="H30" s="1098"/>
      <c r="I30" s="1099"/>
      <c r="J30" s="506"/>
      <c r="K30" s="47"/>
    </row>
    <row r="31" spans="1:13" s="512" customFormat="1" hidden="1">
      <c r="A31" s="2171" t="s">
        <v>78</v>
      </c>
      <c r="B31" s="2130"/>
      <c r="C31" s="2076" t="s">
        <v>1774</v>
      </c>
      <c r="D31" s="1867">
        <v>41578</v>
      </c>
      <c r="E31" s="509" t="s">
        <v>1778</v>
      </c>
      <c r="F31" s="517">
        <v>2189.8000000000002</v>
      </c>
      <c r="G31" s="1867"/>
      <c r="H31" s="509"/>
      <c r="I31" s="517"/>
      <c r="J31" s="520"/>
      <c r="K31" s="511"/>
    </row>
    <row r="32" spans="1:13" s="1880" customFormat="1" ht="15" customHeight="1">
      <c r="A32" s="1879" t="s">
        <v>1799</v>
      </c>
      <c r="F32" s="1881"/>
      <c r="K32" s="1883"/>
    </row>
    <row r="33" spans="1:14" s="1880" customFormat="1" ht="15" customHeight="1">
      <c r="A33" s="1879" t="s">
        <v>1817</v>
      </c>
      <c r="F33" s="1881"/>
      <c r="J33" s="2172"/>
      <c r="K33" s="1883"/>
      <c r="L33" s="2166">
        <f>F22/1000*2</f>
        <v>1565.4309749152544</v>
      </c>
      <c r="M33" s="2166" t="s">
        <v>84</v>
      </c>
    </row>
    <row r="34" spans="1:14" s="1880" customFormat="1" ht="18">
      <c r="A34" s="1880" t="s">
        <v>1818</v>
      </c>
      <c r="F34" s="1881"/>
      <c r="L34" s="2166">
        <f>L33*1.049</f>
        <v>1642.1370926861018</v>
      </c>
      <c r="M34" s="2166" t="s">
        <v>84</v>
      </c>
    </row>
    <row r="35" spans="1:14">
      <c r="A35" s="17" t="s">
        <v>1800</v>
      </c>
      <c r="F35" s="1881"/>
      <c r="J35" s="1882"/>
      <c r="L35" s="2166">
        <f>L33*'Услуги стор.орг..-2018-2020гг.'!I6</f>
        <v>0</v>
      </c>
      <c r="M35" s="2166" t="s">
        <v>84</v>
      </c>
    </row>
    <row r="36" spans="1:14">
      <c r="A36" s="17" t="s">
        <v>1819</v>
      </c>
      <c r="I36" s="2091">
        <f>F32*N38</f>
        <v>0</v>
      </c>
      <c r="J36" s="1881">
        <f>J22*0.1348</f>
        <v>211.02009541857629</v>
      </c>
      <c r="K36" s="1882" t="s">
        <v>84</v>
      </c>
      <c r="L36" s="2166">
        <f>L34*13.48%</f>
        <v>221.36008009408653</v>
      </c>
      <c r="M36" s="2166" t="s">
        <v>84</v>
      </c>
    </row>
    <row r="37" spans="1:14">
      <c r="A37" s="17" t="s">
        <v>1820</v>
      </c>
      <c r="I37" s="2091"/>
      <c r="J37" s="1881">
        <f>J36*1.049</f>
        <v>221.36008009408653</v>
      </c>
      <c r="K37" s="1882" t="s">
        <v>84</v>
      </c>
      <c r="L37" s="2166"/>
      <c r="M37" s="2166"/>
    </row>
    <row r="38" spans="1:14" s="55" customFormat="1" ht="13.8">
      <c r="A38" s="2174" t="s">
        <v>1787</v>
      </c>
      <c r="J38" s="1651"/>
      <c r="N38" s="2175">
        <f>'2016 тсо НК Энергосб'!$B$9/('2016 тсо НК Энергосб'!$B$9+'2016 тсо НК Энергосб'!$B$60)</f>
        <v>2.8004932022727864E-3</v>
      </c>
    </row>
    <row r="39" spans="1:14" s="55" customFormat="1" ht="13.8">
      <c r="A39" s="2174"/>
      <c r="J39" s="1651"/>
      <c r="N39" s="2175"/>
    </row>
    <row r="40" spans="1:14" s="55" customFormat="1" ht="13.8">
      <c r="A40" s="2174" t="s">
        <v>1795</v>
      </c>
      <c r="J40" s="1651"/>
      <c r="N40" s="2175"/>
    </row>
    <row r="41" spans="1:14" s="55" customFormat="1" ht="9.75" customHeight="1">
      <c r="A41" s="2174"/>
      <c r="J41" s="1651"/>
      <c r="N41" s="2175"/>
    </row>
    <row r="42" spans="1:14" ht="34.5" customHeight="1">
      <c r="A42" s="2189" t="s">
        <v>1794</v>
      </c>
      <c r="B42" s="2190"/>
      <c r="C42" s="2193" t="s">
        <v>1801</v>
      </c>
      <c r="D42" s="2193"/>
    </row>
    <row r="43" spans="1:14" ht="16.5" customHeight="1">
      <c r="A43" s="2191"/>
      <c r="B43" s="2192"/>
      <c r="C43" s="2185" t="s">
        <v>767</v>
      </c>
      <c r="D43" s="2185" t="s">
        <v>768</v>
      </c>
    </row>
    <row r="44" spans="1:14" s="55" customFormat="1" ht="21.75" customHeight="1">
      <c r="A44" s="2186" t="s">
        <v>1792</v>
      </c>
      <c r="B44" s="1664"/>
      <c r="C44" s="2194">
        <f>'Реестр всп.мат.2013пром.'!F36</f>
        <v>1157.2545300000002</v>
      </c>
      <c r="D44" s="2194">
        <f>'Реестр всп.мат.2013пром.'!D38</f>
        <v>1248.6776378700001</v>
      </c>
      <c r="J44" s="1651"/>
      <c r="N44" s="2175"/>
    </row>
    <row r="45" spans="1:14" s="55" customFormat="1" ht="20.25" customHeight="1">
      <c r="A45" s="2186" t="s">
        <v>1793</v>
      </c>
      <c r="B45" s="1664"/>
      <c r="C45" s="2194">
        <f>L35</f>
        <v>0</v>
      </c>
      <c r="D45" s="2194">
        <f>L36</f>
        <v>221.36008009408653</v>
      </c>
      <c r="J45" s="1651"/>
      <c r="N45" s="2175"/>
    </row>
    <row r="46" spans="1:14" ht="17.25" customHeight="1">
      <c r="A46" s="2187"/>
      <c r="B46" s="2188" t="s">
        <v>248</v>
      </c>
      <c r="C46" s="1632">
        <f>SUM(C44:C45)</f>
        <v>1157.2545300000002</v>
      </c>
      <c r="D46" s="1632">
        <f>SUM(D44:D45)</f>
        <v>1470.0377179640866</v>
      </c>
    </row>
    <row r="47" spans="1:14" ht="13.5" customHeight="1"/>
    <row r="54" spans="1:1">
      <c r="A54" s="51" t="s">
        <v>227</v>
      </c>
    </row>
    <row r="55" spans="1:1">
      <c r="A55" s="51" t="s">
        <v>236</v>
      </c>
    </row>
  </sheetData>
  <mergeCells count="7">
    <mergeCell ref="C17:C19"/>
    <mergeCell ref="A17:A20"/>
    <mergeCell ref="B17:B20"/>
    <mergeCell ref="E17:E20"/>
    <mergeCell ref="E24:E28"/>
    <mergeCell ref="A24:A28"/>
    <mergeCell ref="B24:B28"/>
  </mergeCells>
  <printOptions horizontalCentered="1"/>
  <pageMargins left="0.19685039370078741" right="0.19685039370078741" top="0.78740157480314965" bottom="0.11811023622047245" header="0.51181102362204722" footer="3.937007874015748E-2"/>
  <pageSetup paperSize="9" scale="81" orientation="landscape" r:id="rId1"/>
  <headerFooter alignWithMargins="0">
    <oddFooter>&amp;R&amp;P</oddFooter>
  </headerFooter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7030A0"/>
  </sheetPr>
  <dimension ref="A1:U105"/>
  <sheetViews>
    <sheetView zoomScaleNormal="100" workbookViewId="0">
      <pane ySplit="3" topLeftCell="A4" activePane="bottomLeft" state="frozenSplit"/>
      <selection activeCell="I46" sqref="I46"/>
      <selection pane="bottomLeft" activeCell="G102" sqref="G102"/>
    </sheetView>
  </sheetViews>
  <sheetFormatPr defaultColWidth="9.109375" defaultRowHeight="15.6"/>
  <cols>
    <col min="1" max="1" width="3.33203125" style="17" customWidth="1"/>
    <col min="2" max="2" width="34.88671875" style="17" customWidth="1"/>
    <col min="3" max="3" width="28.44140625" style="17" customWidth="1"/>
    <col min="4" max="4" width="13.5546875" style="17" customWidth="1"/>
    <col min="5" max="5" width="17" style="17" customWidth="1"/>
    <col min="6" max="6" width="17.33203125" style="17" customWidth="1"/>
    <col min="7" max="7" width="12.44140625" style="17" customWidth="1"/>
    <col min="8" max="8" width="16.88671875" style="17" customWidth="1"/>
    <col min="9" max="9" width="16.5546875" style="17" customWidth="1"/>
    <col min="10" max="10" width="19.109375" style="124" customWidth="1"/>
    <col min="11" max="11" width="15.44140625" style="17" customWidth="1"/>
    <col min="12" max="12" width="11.33203125" style="17" bestFit="1" customWidth="1"/>
    <col min="13" max="16384" width="9.109375" style="17"/>
  </cols>
  <sheetData>
    <row r="1" spans="1:11" ht="31.8">
      <c r="A1" s="500" t="s">
        <v>1630</v>
      </c>
      <c r="B1" s="50"/>
      <c r="C1" s="50"/>
      <c r="D1" s="50"/>
      <c r="E1" s="50"/>
      <c r="F1" s="50"/>
      <c r="G1" s="50"/>
      <c r="H1" s="50"/>
      <c r="I1" s="50"/>
      <c r="J1" s="501"/>
      <c r="K1" s="38"/>
    </row>
    <row r="2" spans="1:11" ht="18">
      <c r="A2" s="1862"/>
      <c r="B2" s="1820"/>
      <c r="C2" s="1820"/>
      <c r="D2" s="1820"/>
      <c r="E2" s="1822"/>
      <c r="F2" s="1820"/>
      <c r="G2" s="1820"/>
      <c r="H2" s="1820"/>
      <c r="I2" s="754" t="s">
        <v>848</v>
      </c>
      <c r="J2" s="503"/>
      <c r="K2" s="38"/>
    </row>
    <row r="3" spans="1:11" ht="44.4">
      <c r="A3" s="44" t="s">
        <v>229</v>
      </c>
      <c r="B3" s="504" t="s">
        <v>631</v>
      </c>
      <c r="C3" s="504" t="s">
        <v>1581</v>
      </c>
      <c r="D3" s="504" t="s">
        <v>632</v>
      </c>
      <c r="E3" s="504" t="s">
        <v>633</v>
      </c>
      <c r="F3" s="505" t="s">
        <v>634</v>
      </c>
      <c r="G3" s="504" t="s">
        <v>632</v>
      </c>
      <c r="H3" s="504" t="s">
        <v>246</v>
      </c>
      <c r="I3" s="505" t="s">
        <v>1574</v>
      </c>
      <c r="J3" s="506"/>
      <c r="K3" s="47"/>
    </row>
    <row r="4" spans="1:11">
      <c r="A4" s="1100" t="s">
        <v>1573</v>
      </c>
      <c r="B4" s="1101"/>
      <c r="C4" s="1101"/>
      <c r="D4" s="1101"/>
      <c r="E4" s="1101"/>
      <c r="F4" s="1101"/>
      <c r="G4" s="1101"/>
      <c r="H4" s="1101"/>
      <c r="I4" s="1102"/>
      <c r="J4" s="506"/>
      <c r="K4" s="47"/>
    </row>
    <row r="5" spans="1:11">
      <c r="A5" s="1097" t="s">
        <v>1578</v>
      </c>
      <c r="B5" s="1098"/>
      <c r="C5" s="1098"/>
      <c r="D5" s="1098"/>
      <c r="E5" s="1098"/>
      <c r="F5" s="1098"/>
      <c r="G5" s="1098"/>
      <c r="H5" s="1098"/>
      <c r="I5" s="1099"/>
      <c r="J5" s="506"/>
      <c r="K5" s="47"/>
    </row>
    <row r="6" spans="1:11" s="512" customFormat="1" ht="27" customHeight="1">
      <c r="A6" s="507" t="s">
        <v>76</v>
      </c>
      <c r="B6" s="2901" t="s">
        <v>1579</v>
      </c>
      <c r="C6" s="509" t="s">
        <v>1582</v>
      </c>
      <c r="D6" s="1867">
        <v>41471</v>
      </c>
      <c r="E6" s="509" t="s">
        <v>1580</v>
      </c>
      <c r="F6" s="517">
        <v>70895.58</v>
      </c>
      <c r="G6" s="1867">
        <v>41499</v>
      </c>
      <c r="H6" s="509" t="s">
        <v>1594</v>
      </c>
      <c r="I6" s="517">
        <v>70895.58</v>
      </c>
      <c r="J6" s="520"/>
      <c r="K6" s="511"/>
    </row>
    <row r="7" spans="1:11" s="512" customFormat="1" ht="20.25" customHeight="1">
      <c r="A7" s="507" t="s">
        <v>77</v>
      </c>
      <c r="B7" s="2907"/>
      <c r="C7" s="509" t="s">
        <v>1584</v>
      </c>
      <c r="D7" s="1867">
        <v>41523</v>
      </c>
      <c r="E7" s="509" t="s">
        <v>1583</v>
      </c>
      <c r="F7" s="517">
        <v>4705.4399999999996</v>
      </c>
      <c r="G7" s="1867">
        <v>41534</v>
      </c>
      <c r="H7" s="219" t="s">
        <v>1595</v>
      </c>
      <c r="I7" s="517">
        <v>4705.4399999999996</v>
      </c>
      <c r="J7" s="510"/>
      <c r="K7" s="511"/>
    </row>
    <row r="8" spans="1:11" s="512" customFormat="1" ht="20.25" customHeight="1">
      <c r="A8" s="515"/>
      <c r="B8" s="2907"/>
      <c r="C8" s="509" t="s">
        <v>1605</v>
      </c>
      <c r="D8" s="1867">
        <v>41544</v>
      </c>
      <c r="E8" s="509" t="s">
        <v>1702</v>
      </c>
      <c r="F8" s="517">
        <v>171509.69</v>
      </c>
      <c r="G8" s="1867">
        <v>41523</v>
      </c>
      <c r="H8" s="219" t="s">
        <v>1604</v>
      </c>
      <c r="I8" s="517">
        <v>171509.69</v>
      </c>
      <c r="J8" s="510"/>
      <c r="K8" s="511"/>
    </row>
    <row r="9" spans="1:11" s="512" customFormat="1" ht="20.25" customHeight="1">
      <c r="A9" s="515"/>
      <c r="B9" s="2907"/>
      <c r="C9" s="509" t="s">
        <v>1606</v>
      </c>
      <c r="D9" s="1867">
        <v>41506</v>
      </c>
      <c r="E9" s="509" t="s">
        <v>1705</v>
      </c>
      <c r="F9" s="517">
        <v>13336.24</v>
      </c>
      <c r="G9" s="1867">
        <v>41523</v>
      </c>
      <c r="H9" s="219" t="s">
        <v>1607</v>
      </c>
      <c r="I9" s="517">
        <v>171509.69</v>
      </c>
      <c r="J9" s="510"/>
      <c r="K9" s="511"/>
    </row>
    <row r="10" spans="1:11" s="512" customFormat="1" ht="20.25" customHeight="1">
      <c r="A10" s="515"/>
      <c r="B10" s="2907"/>
      <c r="C10" s="509" t="s">
        <v>1586</v>
      </c>
      <c r="D10" s="1867">
        <v>41508</v>
      </c>
      <c r="E10" s="509" t="s">
        <v>1704</v>
      </c>
      <c r="F10" s="517">
        <v>505825.11</v>
      </c>
      <c r="G10" s="1867">
        <v>41523</v>
      </c>
      <c r="H10" s="219" t="s">
        <v>1602</v>
      </c>
      <c r="I10" s="517">
        <v>505825.11</v>
      </c>
      <c r="J10" s="510"/>
      <c r="K10" s="511"/>
    </row>
    <row r="11" spans="1:11" s="512" customFormat="1" ht="20.25" customHeight="1">
      <c r="A11" s="515"/>
      <c r="B11" s="2907"/>
      <c r="C11" s="509" t="s">
        <v>1586</v>
      </c>
      <c r="D11" s="1867">
        <v>41544</v>
      </c>
      <c r="E11" s="509" t="s">
        <v>1703</v>
      </c>
      <c r="F11" s="517">
        <v>133894.6</v>
      </c>
      <c r="G11" s="1867">
        <v>41523</v>
      </c>
      <c r="H11" s="219" t="s">
        <v>1603</v>
      </c>
      <c r="I11" s="517">
        <v>133894.6</v>
      </c>
      <c r="J11" s="510"/>
      <c r="K11" s="511"/>
    </row>
    <row r="12" spans="1:11" s="512" customFormat="1" ht="20.25" customHeight="1">
      <c r="A12" s="515" t="s">
        <v>78</v>
      </c>
      <c r="B12" s="2907"/>
      <c r="C12" s="509" t="s">
        <v>1586</v>
      </c>
      <c r="D12" s="1867">
        <v>41541</v>
      </c>
      <c r="E12" s="509" t="s">
        <v>1585</v>
      </c>
      <c r="F12" s="517">
        <v>16413.8</v>
      </c>
      <c r="G12" s="1867">
        <v>41563</v>
      </c>
      <c r="H12" s="219" t="s">
        <v>1596</v>
      </c>
      <c r="I12" s="517">
        <v>16413.8</v>
      </c>
      <c r="J12" s="520">
        <f>SUM(F7:F12)</f>
        <v>845684.88</v>
      </c>
      <c r="K12" s="511">
        <f>J12-I7</f>
        <v>840979.44000000006</v>
      </c>
    </row>
    <row r="13" spans="1:11" s="512" customFormat="1" ht="20.25" customHeight="1">
      <c r="A13" s="507" t="s">
        <v>79</v>
      </c>
      <c r="B13" s="2908"/>
      <c r="C13" s="509" t="s">
        <v>1588</v>
      </c>
      <c r="D13" s="1867">
        <v>41621</v>
      </c>
      <c r="E13" s="509" t="s">
        <v>1587</v>
      </c>
      <c r="F13" s="517">
        <v>4958.83</v>
      </c>
      <c r="G13" s="1867">
        <v>41634</v>
      </c>
      <c r="H13" s="509" t="s">
        <v>1597</v>
      </c>
      <c r="I13" s="517">
        <v>4958.83</v>
      </c>
      <c r="J13" s="510"/>
      <c r="K13" s="511"/>
    </row>
    <row r="14" spans="1:11" s="512" customFormat="1" ht="20.25" customHeight="1">
      <c r="A14" s="515" t="s">
        <v>80</v>
      </c>
      <c r="B14" s="1868" t="s">
        <v>1376</v>
      </c>
      <c r="C14" s="509" t="s">
        <v>1590</v>
      </c>
      <c r="D14" s="1867">
        <v>41389</v>
      </c>
      <c r="E14" s="509" t="s">
        <v>1589</v>
      </c>
      <c r="F14" s="517">
        <v>77541.789999999994</v>
      </c>
      <c r="G14" s="1867">
        <v>41367</v>
      </c>
      <c r="H14" s="509" t="s">
        <v>1593</v>
      </c>
      <c r="I14" s="517">
        <v>77541.789999999994</v>
      </c>
      <c r="J14" s="520"/>
      <c r="K14" s="511"/>
    </row>
    <row r="15" spans="1:11" s="512" customFormat="1" ht="28.2">
      <c r="A15" s="515" t="s">
        <v>81</v>
      </c>
      <c r="B15" s="1869" t="s">
        <v>1591</v>
      </c>
      <c r="C15" s="509" t="s">
        <v>1582</v>
      </c>
      <c r="D15" s="1867">
        <v>41358</v>
      </c>
      <c r="E15" s="509" t="s">
        <v>1592</v>
      </c>
      <c r="F15" s="517">
        <v>17300.28</v>
      </c>
      <c r="G15" s="2877"/>
      <c r="H15" s="2872"/>
      <c r="I15" s="2874"/>
      <c r="K15" s="511"/>
    </row>
    <row r="16" spans="1:11" s="512" customFormat="1" ht="20.25" customHeight="1">
      <c r="A16" s="515" t="s">
        <v>82</v>
      </c>
      <c r="B16" s="1866"/>
      <c r="C16" s="509"/>
      <c r="D16" s="1823"/>
      <c r="E16" s="509"/>
      <c r="F16" s="517"/>
      <c r="G16" s="2878"/>
      <c r="H16" s="2880"/>
      <c r="I16" s="2881"/>
      <c r="J16" s="520"/>
      <c r="K16" s="510"/>
    </row>
    <row r="17" spans="1:11" s="512" customFormat="1" ht="20.25" customHeight="1">
      <c r="A17" s="515" t="s">
        <v>83</v>
      </c>
      <c r="B17" s="1866"/>
      <c r="C17" s="509"/>
      <c r="D17" s="1823"/>
      <c r="E17" s="509"/>
      <c r="F17" s="517"/>
      <c r="G17" s="2879"/>
      <c r="H17" s="2873"/>
      <c r="I17" s="2875"/>
      <c r="J17" s="520">
        <f>SUM(F15:F17)</f>
        <v>17300.28</v>
      </c>
      <c r="K17" s="511"/>
    </row>
    <row r="18" spans="1:11" s="512" customFormat="1" ht="20.25" hidden="1" customHeight="1">
      <c r="A18" s="515"/>
      <c r="B18" s="1818"/>
      <c r="C18" s="1104"/>
      <c r="D18" s="1820"/>
      <c r="E18" s="1104"/>
      <c r="F18" s="1105"/>
      <c r="G18" s="1820"/>
      <c r="H18" s="1104"/>
      <c r="I18" s="1105"/>
      <c r="J18" s="520"/>
      <c r="K18" s="511"/>
    </row>
    <row r="19" spans="1:11" s="512" customFormat="1" ht="20.25" hidden="1" customHeight="1">
      <c r="A19" s="515"/>
      <c r="B19" s="1818"/>
      <c r="C19" s="1104"/>
      <c r="D19" s="1820"/>
      <c r="E19" s="1104"/>
      <c r="F19" s="1820"/>
      <c r="G19" s="1820"/>
      <c r="H19" s="1104"/>
      <c r="I19" s="1105"/>
      <c r="J19" s="520"/>
      <c r="K19" s="520"/>
    </row>
    <row r="20" spans="1:11" s="512" customFormat="1" ht="20.25" hidden="1" customHeight="1">
      <c r="A20" s="507"/>
      <c r="B20" s="1818"/>
      <c r="C20" s="1104"/>
      <c r="D20" s="1820"/>
      <c r="E20" s="1104"/>
      <c r="F20" s="1820"/>
      <c r="G20" s="1820"/>
      <c r="H20" s="1104"/>
      <c r="I20" s="1820"/>
      <c r="J20" s="520"/>
      <c r="K20" s="511"/>
    </row>
    <row r="21" spans="1:11" s="512" customFormat="1" ht="19.5" hidden="1" customHeight="1">
      <c r="A21" s="507"/>
      <c r="B21" s="1818"/>
      <c r="C21" s="1104"/>
      <c r="D21" s="1820"/>
      <c r="E21" s="1104"/>
      <c r="F21" s="1105"/>
      <c r="G21" s="1820"/>
      <c r="H21" s="1104"/>
      <c r="I21" s="1105"/>
      <c r="J21" s="520"/>
      <c r="K21" s="511"/>
    </row>
    <row r="22" spans="1:11" s="512" customFormat="1" ht="19.5" hidden="1" customHeight="1">
      <c r="A22" s="507"/>
      <c r="B22" s="1818"/>
      <c r="C22" s="1104"/>
      <c r="D22" s="1820"/>
      <c r="E22" s="1104"/>
      <c r="F22" s="1105"/>
      <c r="G22" s="1820"/>
      <c r="H22" s="1104"/>
      <c r="I22" s="1105"/>
      <c r="J22" s="520"/>
      <c r="K22" s="511"/>
    </row>
    <row r="23" spans="1:11" s="512" customFormat="1" ht="19.5" hidden="1" customHeight="1">
      <c r="A23" s="507"/>
      <c r="B23" s="1818"/>
      <c r="C23" s="1104"/>
      <c r="D23" s="1820"/>
      <c r="E23" s="1104"/>
      <c r="F23" s="1105"/>
      <c r="G23" s="1820"/>
      <c r="H23" s="1104"/>
      <c r="I23" s="1105"/>
      <c r="J23" s="520"/>
      <c r="K23" s="511"/>
    </row>
    <row r="24" spans="1:11" s="512" customFormat="1" ht="19.5" hidden="1" customHeight="1">
      <c r="A24" s="507"/>
      <c r="B24" s="1818"/>
      <c r="C24" s="1104"/>
      <c r="D24" s="1820"/>
      <c r="E24" s="1104"/>
      <c r="F24" s="1105"/>
      <c r="G24" s="1820"/>
      <c r="H24" s="1104"/>
      <c r="I24" s="1105"/>
      <c r="J24" s="520"/>
      <c r="K24" s="511"/>
    </row>
    <row r="25" spans="1:11" s="512" customFormat="1" ht="19.5" hidden="1" customHeight="1">
      <c r="A25" s="507"/>
      <c r="B25" s="1818"/>
      <c r="C25" s="1104"/>
      <c r="D25" s="1103"/>
      <c r="E25" s="1104"/>
      <c r="F25" s="1105"/>
      <c r="G25" s="1820"/>
      <c r="H25" s="1104"/>
      <c r="I25" s="1105"/>
      <c r="J25" s="520"/>
      <c r="K25" s="511"/>
    </row>
    <row r="26" spans="1:11" s="512" customFormat="1" ht="19.5" hidden="1" customHeight="1">
      <c r="A26" s="507"/>
      <c r="B26" s="871"/>
      <c r="C26" s="1104"/>
      <c r="D26" s="1103"/>
      <c r="E26" s="1104"/>
      <c r="F26" s="1105"/>
      <c r="G26" s="1820"/>
      <c r="H26" s="1104"/>
      <c r="I26" s="1105"/>
      <c r="J26" s="520"/>
      <c r="K26" s="511"/>
    </row>
    <row r="27" spans="1:11" s="512" customFormat="1" ht="19.5" hidden="1" customHeight="1">
      <c r="A27" s="507"/>
      <c r="B27" s="1819"/>
      <c r="C27" s="509"/>
      <c r="D27" s="870"/>
      <c r="E27" s="509"/>
      <c r="F27" s="517"/>
      <c r="G27" s="1820"/>
      <c r="H27" s="509"/>
      <c r="I27" s="517"/>
      <c r="J27" s="520">
        <f>SUM(F23:F27)</f>
        <v>0</v>
      </c>
      <c r="K27" s="511"/>
    </row>
    <row r="28" spans="1:11" s="512" customFormat="1" ht="19.5" hidden="1" customHeight="1">
      <c r="A28" s="507"/>
      <c r="B28" s="1819"/>
      <c r="C28" s="509"/>
      <c r="D28" s="870"/>
      <c r="E28" s="509"/>
      <c r="F28" s="517"/>
      <c r="G28" s="1820"/>
      <c r="H28" s="509"/>
      <c r="I28" s="517"/>
      <c r="J28" s="520">
        <f>SUM(F24:F28)</f>
        <v>0</v>
      </c>
      <c r="K28" s="511"/>
    </row>
    <row r="29" spans="1:11" s="512" customFormat="1" ht="19.5" hidden="1" customHeight="1">
      <c r="A29" s="507"/>
      <c r="B29" s="1819"/>
      <c r="C29" s="509"/>
      <c r="D29" s="870"/>
      <c r="E29" s="509"/>
      <c r="F29" s="517"/>
      <c r="G29" s="1820"/>
      <c r="H29" s="509"/>
      <c r="I29" s="517"/>
      <c r="J29" s="520">
        <f>SUM(F25:F29)</f>
        <v>0</v>
      </c>
      <c r="K29" s="511"/>
    </row>
    <row r="30" spans="1:11">
      <c r="A30" s="514" t="s">
        <v>158</v>
      </c>
      <c r="B30" s="516"/>
      <c r="C30" s="513"/>
      <c r="D30" s="508"/>
      <c r="E30" s="513"/>
      <c r="F30" s="519">
        <f>SUM(F6:F29)</f>
        <v>1016381.3600000001</v>
      </c>
      <c r="G30" s="1629"/>
      <c r="H30" s="1821"/>
      <c r="I30" s="519">
        <f>SUM(I6:I29)</f>
        <v>1157254.5300000003</v>
      </c>
      <c r="J30" s="1820"/>
      <c r="K30" s="47"/>
    </row>
    <row r="31" spans="1:11" ht="36" hidden="1" customHeight="1">
      <c r="A31" s="1107" t="s">
        <v>1043</v>
      </c>
      <c r="B31" s="522"/>
      <c r="C31" s="524"/>
      <c r="D31" s="523"/>
      <c r="E31" s="524"/>
      <c r="F31" s="525"/>
      <c r="G31" s="42"/>
      <c r="H31" s="42"/>
      <c r="I31" s="525"/>
      <c r="J31" s="506"/>
      <c r="K31" s="47"/>
    </row>
    <row r="32" spans="1:11" s="94" customFormat="1">
      <c r="A32" s="443" t="s">
        <v>1575</v>
      </c>
      <c r="K32" s="873"/>
    </row>
    <row r="33" spans="1:12" ht="18.75" customHeight="1">
      <c r="A33" s="443" t="s">
        <v>1598</v>
      </c>
      <c r="B33" s="522"/>
      <c r="C33" s="524"/>
      <c r="D33" s="523"/>
      <c r="E33" s="524"/>
      <c r="F33" s="525"/>
      <c r="G33" s="42"/>
      <c r="H33" s="42"/>
      <c r="I33" s="525"/>
      <c r="J33" s="506"/>
      <c r="K33" s="47"/>
    </row>
    <row r="34" spans="1:12" ht="18.75" customHeight="1">
      <c r="A34" s="443" t="s">
        <v>1576</v>
      </c>
      <c r="B34" s="522"/>
      <c r="C34" s="524"/>
      <c r="D34" s="523"/>
      <c r="E34" s="524"/>
      <c r="F34" s="525"/>
      <c r="G34" s="42"/>
      <c r="H34" s="42"/>
      <c r="I34" s="525"/>
      <c r="J34" s="506"/>
      <c r="K34" s="47"/>
    </row>
    <row r="35" spans="1:12" s="1861" customFormat="1" hidden="1">
      <c r="A35" s="1863" t="s">
        <v>1577</v>
      </c>
      <c r="K35" s="1864"/>
    </row>
    <row r="36" spans="1:12" s="1880" customFormat="1" ht="22.5" customHeight="1">
      <c r="A36" s="1879" t="s">
        <v>1608</v>
      </c>
      <c r="F36" s="1881">
        <f>$I$30/1000</f>
        <v>1157.2545300000002</v>
      </c>
      <c r="G36" s="1882" t="s">
        <v>868</v>
      </c>
      <c r="K36" s="1883"/>
    </row>
    <row r="37" spans="1:12" s="1880" customFormat="1" ht="18">
      <c r="A37" s="1880" t="s">
        <v>1839</v>
      </c>
      <c r="J37" s="1884"/>
    </row>
    <row r="38" spans="1:12" s="1880" customFormat="1" ht="13.5" customHeight="1">
      <c r="C38" s="1817" t="s">
        <v>1840</v>
      </c>
      <c r="D38" s="1888">
        <f>$F$36*1.079</f>
        <v>1248.6776378700001</v>
      </c>
      <c r="E38" s="1882" t="s">
        <v>84</v>
      </c>
      <c r="J38" s="1884"/>
    </row>
    <row r="39" spans="1:12" s="94" customFormat="1">
      <c r="B39" s="872"/>
      <c r="C39" s="108"/>
      <c r="D39" s="1106"/>
      <c r="E39" s="108"/>
      <c r="J39" s="167"/>
    </row>
    <row r="40" spans="1:12" ht="44.4" hidden="1">
      <c r="A40" s="44" t="s">
        <v>229</v>
      </c>
      <c r="B40" s="504" t="s">
        <v>631</v>
      </c>
      <c r="C40" s="504" t="s">
        <v>633</v>
      </c>
      <c r="D40" s="504" t="s">
        <v>632</v>
      </c>
      <c r="E40" s="504" t="s">
        <v>633</v>
      </c>
      <c r="F40" s="505" t="s">
        <v>634</v>
      </c>
      <c r="G40" s="504" t="s">
        <v>632</v>
      </c>
      <c r="H40" s="504" t="s">
        <v>246</v>
      </c>
      <c r="I40" s="505" t="s">
        <v>635</v>
      </c>
      <c r="J40" s="506"/>
      <c r="K40" s="47"/>
    </row>
    <row r="41" spans="1:12" hidden="1">
      <c r="A41" s="1100" t="s">
        <v>983</v>
      </c>
      <c r="B41" s="1101"/>
      <c r="C41" s="1101"/>
      <c r="D41" s="1101"/>
      <c r="E41" s="1101"/>
      <c r="F41" s="1101"/>
      <c r="G41" s="1101"/>
      <c r="H41" s="1101"/>
      <c r="I41" s="1102"/>
      <c r="J41" s="506"/>
      <c r="K41" s="47"/>
    </row>
    <row r="42" spans="1:12" hidden="1">
      <c r="A42" s="1097" t="s">
        <v>849</v>
      </c>
      <c r="B42" s="1098"/>
      <c r="C42" s="1098"/>
      <c r="D42" s="1098"/>
      <c r="E42" s="1098"/>
      <c r="F42" s="1098"/>
      <c r="G42" s="1098"/>
      <c r="H42" s="1098"/>
      <c r="I42" s="1099"/>
      <c r="J42" s="506"/>
      <c r="K42" s="47"/>
    </row>
    <row r="43" spans="1:12" s="512" customFormat="1" ht="19.5" hidden="1" customHeight="1">
      <c r="A43" s="507" t="s">
        <v>76</v>
      </c>
      <c r="B43" s="2882" t="s">
        <v>984</v>
      </c>
      <c r="C43" s="509" t="s">
        <v>1040</v>
      </c>
      <c r="D43" s="870" t="s">
        <v>985</v>
      </c>
      <c r="E43" s="509" t="s">
        <v>1040</v>
      </c>
      <c r="F43" s="517">
        <v>15642.8</v>
      </c>
      <c r="G43" s="870" t="s">
        <v>1062</v>
      </c>
      <c r="H43" s="509">
        <v>68</v>
      </c>
      <c r="I43" s="517">
        <v>37678.5</v>
      </c>
      <c r="J43" s="520"/>
      <c r="K43" s="511"/>
    </row>
    <row r="44" spans="1:12" s="512" customFormat="1" ht="19.5" hidden="1" customHeight="1">
      <c r="A44" s="507" t="s">
        <v>77</v>
      </c>
      <c r="B44" s="2883"/>
      <c r="C44" s="509" t="s">
        <v>988</v>
      </c>
      <c r="D44" s="870" t="s">
        <v>987</v>
      </c>
      <c r="E44" s="509" t="s">
        <v>988</v>
      </c>
      <c r="F44" s="517">
        <v>20392.5</v>
      </c>
      <c r="G44" s="870" t="s">
        <v>1063</v>
      </c>
      <c r="H44" s="509">
        <v>98</v>
      </c>
      <c r="I44" s="517">
        <v>3180</v>
      </c>
      <c r="J44" s="520"/>
      <c r="K44" s="520">
        <f>SUM(F43:F44)</f>
        <v>36035.300000000003</v>
      </c>
      <c r="L44" s="520">
        <f>SUM(I43:I44)</f>
        <v>40858.5</v>
      </c>
    </row>
    <row r="45" spans="1:12" s="512" customFormat="1" ht="20.25" hidden="1" customHeight="1">
      <c r="A45" s="515" t="s">
        <v>78</v>
      </c>
      <c r="B45" s="2884"/>
      <c r="C45" s="509" t="s">
        <v>990</v>
      </c>
      <c r="D45" s="870" t="s">
        <v>989</v>
      </c>
      <c r="E45" s="509" t="s">
        <v>990</v>
      </c>
      <c r="F45" s="517">
        <v>24197</v>
      </c>
      <c r="G45" s="870" t="s">
        <v>1065</v>
      </c>
      <c r="H45" s="509">
        <v>119</v>
      </c>
      <c r="I45" s="517">
        <v>24197</v>
      </c>
      <c r="J45" s="510"/>
      <c r="K45" s="511"/>
    </row>
    <row r="46" spans="1:12" s="512" customFormat="1" ht="20.25" hidden="1" customHeight="1">
      <c r="A46" s="507" t="s">
        <v>79</v>
      </c>
      <c r="B46" s="2884"/>
      <c r="C46" s="509" t="s">
        <v>992</v>
      </c>
      <c r="D46" s="870" t="s">
        <v>991</v>
      </c>
      <c r="E46" s="509" t="s">
        <v>992</v>
      </c>
      <c r="F46" s="517">
        <v>6850</v>
      </c>
      <c r="G46" s="870" t="s">
        <v>1067</v>
      </c>
      <c r="H46" s="509">
        <v>231</v>
      </c>
      <c r="I46" s="517">
        <v>6850</v>
      </c>
      <c r="J46" s="520"/>
      <c r="K46" s="511"/>
    </row>
    <row r="47" spans="1:12" s="512" customFormat="1" ht="20.25" hidden="1" customHeight="1">
      <c r="A47" s="515" t="s">
        <v>80</v>
      </c>
      <c r="B47" s="2884"/>
      <c r="C47" s="509" t="s">
        <v>994</v>
      </c>
      <c r="D47" s="870" t="s">
        <v>993</v>
      </c>
      <c r="E47" s="509" t="s">
        <v>994</v>
      </c>
      <c r="F47" s="517">
        <v>78415.88</v>
      </c>
      <c r="G47" s="2870" t="s">
        <v>1064</v>
      </c>
      <c r="H47" s="2872">
        <v>196</v>
      </c>
      <c r="I47" s="2874">
        <v>86085.88</v>
      </c>
      <c r="J47" s="510"/>
      <c r="K47" s="511"/>
    </row>
    <row r="48" spans="1:12" s="512" customFormat="1" ht="20.25" hidden="1" customHeight="1">
      <c r="A48" s="515" t="s">
        <v>81</v>
      </c>
      <c r="B48" s="2884"/>
      <c r="C48" s="509" t="s">
        <v>995</v>
      </c>
      <c r="D48" s="870" t="s">
        <v>993</v>
      </c>
      <c r="E48" s="509" t="s">
        <v>995</v>
      </c>
      <c r="F48" s="517">
        <v>7670</v>
      </c>
      <c r="G48" s="2871"/>
      <c r="H48" s="2873"/>
      <c r="I48" s="2875"/>
      <c r="J48" s="520"/>
      <c r="K48" s="520">
        <f>SUM(F47:F48)</f>
        <v>86085.88</v>
      </c>
      <c r="L48" s="520">
        <f>SUM(I47)</f>
        <v>86085.88</v>
      </c>
    </row>
    <row r="49" spans="1:12" s="512" customFormat="1" ht="20.25" hidden="1" customHeight="1">
      <c r="A49" s="515" t="s">
        <v>82</v>
      </c>
      <c r="B49" s="2884"/>
      <c r="C49" s="1104" t="s">
        <v>997</v>
      </c>
      <c r="D49" s="1103" t="s">
        <v>996</v>
      </c>
      <c r="E49" s="1104" t="s">
        <v>997</v>
      </c>
      <c r="F49" s="1105">
        <v>1195</v>
      </c>
      <c r="G49" s="870"/>
      <c r="H49" s="509"/>
      <c r="I49" s="517"/>
      <c r="K49" s="520">
        <f>SUM(F43:F48)</f>
        <v>153168.18</v>
      </c>
      <c r="L49" s="520">
        <f>SUM(I43:I49)</f>
        <v>157991.38</v>
      </c>
    </row>
    <row r="50" spans="1:12" s="512" customFormat="1" ht="20.25" hidden="1" customHeight="1">
      <c r="A50" s="515" t="s">
        <v>83</v>
      </c>
      <c r="B50" s="2884"/>
      <c r="C50" s="509" t="s">
        <v>999</v>
      </c>
      <c r="D50" s="870" t="s">
        <v>998</v>
      </c>
      <c r="E50" s="509" t="s">
        <v>999</v>
      </c>
      <c r="F50" s="517">
        <v>20725</v>
      </c>
      <c r="G50" s="870" t="s">
        <v>1066</v>
      </c>
      <c r="H50" s="509">
        <v>242</v>
      </c>
      <c r="I50" s="517">
        <v>20725</v>
      </c>
      <c r="J50" s="520"/>
      <c r="K50" s="510"/>
    </row>
    <row r="51" spans="1:12" s="512" customFormat="1" ht="20.25" hidden="1" customHeight="1">
      <c r="A51" s="515" t="s">
        <v>220</v>
      </c>
      <c r="B51" s="2884"/>
      <c r="C51" s="509" t="s">
        <v>1001</v>
      </c>
      <c r="D51" s="870" t="s">
        <v>1000</v>
      </c>
      <c r="E51" s="509" t="s">
        <v>1001</v>
      </c>
      <c r="F51" s="517">
        <v>12840</v>
      </c>
      <c r="G51" s="870" t="s">
        <v>1069</v>
      </c>
      <c r="H51" s="509">
        <v>276</v>
      </c>
      <c r="I51" s="517">
        <v>3005</v>
      </c>
      <c r="J51" s="520"/>
      <c r="K51" s="520">
        <f>F49+F51</f>
        <v>14035</v>
      </c>
      <c r="L51" s="520"/>
    </row>
    <row r="52" spans="1:12" s="512" customFormat="1" ht="20.25" hidden="1" customHeight="1">
      <c r="A52" s="515" t="s">
        <v>221</v>
      </c>
      <c r="B52" s="2884"/>
      <c r="C52" s="509" t="s">
        <v>1003</v>
      </c>
      <c r="D52" s="870" t="s">
        <v>1002</v>
      </c>
      <c r="E52" s="509" t="s">
        <v>1003</v>
      </c>
      <c r="F52" s="517">
        <v>4350</v>
      </c>
      <c r="G52" s="870" t="s">
        <v>1068</v>
      </c>
      <c r="H52" s="509">
        <v>336</v>
      </c>
      <c r="I52" s="517">
        <v>13045</v>
      </c>
      <c r="J52" s="520"/>
      <c r="K52" s="520">
        <f>F51+F52</f>
        <v>17190</v>
      </c>
      <c r="L52" s="520">
        <f>I51+I52</f>
        <v>16050</v>
      </c>
    </row>
    <row r="53" spans="1:12" s="512" customFormat="1" ht="20.25" hidden="1" customHeight="1">
      <c r="A53" s="507" t="s">
        <v>219</v>
      </c>
      <c r="B53" s="2884"/>
      <c r="C53" s="509" t="s">
        <v>1004</v>
      </c>
      <c r="D53" s="870" t="s">
        <v>883</v>
      </c>
      <c r="E53" s="509" t="s">
        <v>1004</v>
      </c>
      <c r="F53" s="517">
        <v>37232</v>
      </c>
      <c r="G53" s="870" t="s">
        <v>1071</v>
      </c>
      <c r="H53" s="509">
        <v>345</v>
      </c>
      <c r="I53" s="517">
        <v>990</v>
      </c>
      <c r="J53" s="520"/>
      <c r="K53" s="520"/>
    </row>
    <row r="54" spans="1:12" s="512" customFormat="1" ht="20.25" hidden="1" customHeight="1">
      <c r="A54" s="507" t="s">
        <v>222</v>
      </c>
      <c r="B54" s="2884"/>
      <c r="C54" s="509" t="s">
        <v>1005</v>
      </c>
      <c r="D54" s="870" t="s">
        <v>883</v>
      </c>
      <c r="E54" s="509" t="s">
        <v>1005</v>
      </c>
      <c r="F54" s="517">
        <v>7716</v>
      </c>
      <c r="G54" s="870" t="s">
        <v>1070</v>
      </c>
      <c r="H54" s="509">
        <v>394</v>
      </c>
      <c r="I54" s="517">
        <v>42545</v>
      </c>
      <c r="J54" s="520"/>
      <c r="K54" s="520">
        <f>F53+F54</f>
        <v>44948</v>
      </c>
      <c r="L54" s="520">
        <f>I54</f>
        <v>42545</v>
      </c>
    </row>
    <row r="55" spans="1:12" s="512" customFormat="1" ht="19.5" hidden="1" customHeight="1">
      <c r="A55" s="507" t="s">
        <v>308</v>
      </c>
      <c r="B55" s="2885"/>
      <c r="C55" s="509" t="s">
        <v>1007</v>
      </c>
      <c r="D55" s="870" t="s">
        <v>1006</v>
      </c>
      <c r="E55" s="509" t="s">
        <v>1007</v>
      </c>
      <c r="F55" s="517">
        <v>16914</v>
      </c>
      <c r="G55" s="870" t="s">
        <v>1072</v>
      </c>
      <c r="H55" s="509">
        <v>496</v>
      </c>
      <c r="I55" s="517">
        <v>41582</v>
      </c>
      <c r="J55" s="520"/>
      <c r="K55" s="511"/>
    </row>
    <row r="56" spans="1:12" s="512" customFormat="1" ht="19.5" hidden="1" customHeight="1">
      <c r="A56" s="507" t="s">
        <v>157</v>
      </c>
      <c r="B56" s="2868" t="s">
        <v>1008</v>
      </c>
      <c r="C56" s="509" t="s">
        <v>1009</v>
      </c>
      <c r="D56" s="870" t="s">
        <v>1006</v>
      </c>
      <c r="E56" s="509" t="s">
        <v>1009</v>
      </c>
      <c r="F56" s="517">
        <v>1213.49</v>
      </c>
      <c r="G56" s="2870" t="s">
        <v>1074</v>
      </c>
      <c r="H56" s="2872">
        <v>520</v>
      </c>
      <c r="I56" s="2874">
        <v>2815</v>
      </c>
      <c r="J56" s="520"/>
      <c r="K56" s="520">
        <f>F56+F57</f>
        <v>2333.0500000000002</v>
      </c>
      <c r="L56" s="520">
        <f>I56</f>
        <v>2815</v>
      </c>
    </row>
    <row r="57" spans="1:12" s="512" customFormat="1" ht="19.5" hidden="1" customHeight="1">
      <c r="A57" s="507" t="s">
        <v>224</v>
      </c>
      <c r="B57" s="2869"/>
      <c r="C57" s="509" t="s">
        <v>1009</v>
      </c>
      <c r="D57" s="870" t="s">
        <v>1006</v>
      </c>
      <c r="E57" s="509" t="s">
        <v>1009</v>
      </c>
      <c r="F57" s="517">
        <v>1119.56</v>
      </c>
      <c r="G57" s="2871"/>
      <c r="H57" s="2873"/>
      <c r="I57" s="2875"/>
      <c r="J57" s="520"/>
      <c r="K57" s="511"/>
    </row>
    <row r="58" spans="1:12" s="512" customFormat="1" ht="19.5" hidden="1" customHeight="1">
      <c r="A58" s="507" t="s">
        <v>1015</v>
      </c>
      <c r="B58" s="2868" t="s">
        <v>984</v>
      </c>
      <c r="C58" s="509" t="s">
        <v>1010</v>
      </c>
      <c r="D58" s="870" t="s">
        <v>891</v>
      </c>
      <c r="E58" s="509" t="s">
        <v>1010</v>
      </c>
      <c r="F58" s="517">
        <v>9400</v>
      </c>
      <c r="G58" s="870" t="s">
        <v>1073</v>
      </c>
      <c r="H58" s="509">
        <v>534</v>
      </c>
      <c r="I58" s="517">
        <v>15924</v>
      </c>
      <c r="J58" s="520"/>
      <c r="K58" s="511"/>
    </row>
    <row r="59" spans="1:12" s="512" customFormat="1" ht="19.5" hidden="1" customHeight="1">
      <c r="A59" s="507" t="s">
        <v>1016</v>
      </c>
      <c r="B59" s="2876"/>
      <c r="C59" s="509" t="s">
        <v>1012</v>
      </c>
      <c r="D59" s="870" t="s">
        <v>1011</v>
      </c>
      <c r="E59" s="509" t="s">
        <v>1012</v>
      </c>
      <c r="F59" s="517">
        <v>3485</v>
      </c>
      <c r="G59" s="870" t="s">
        <v>1075</v>
      </c>
      <c r="H59" s="509">
        <v>544</v>
      </c>
      <c r="I59" s="517">
        <v>990</v>
      </c>
      <c r="J59" s="520"/>
      <c r="K59" s="511"/>
    </row>
    <row r="60" spans="1:12" s="512" customFormat="1" ht="19.5" hidden="1" customHeight="1">
      <c r="A60" s="507" t="s">
        <v>1017</v>
      </c>
      <c r="B60" s="2876"/>
      <c r="C60" s="509" t="s">
        <v>1012</v>
      </c>
      <c r="D60" s="870" t="s">
        <v>1011</v>
      </c>
      <c r="E60" s="509" t="s">
        <v>1012</v>
      </c>
      <c r="F60" s="517">
        <v>4550</v>
      </c>
      <c r="G60" s="870" t="s">
        <v>1076</v>
      </c>
      <c r="H60" s="509">
        <v>722</v>
      </c>
      <c r="I60" s="517">
        <v>5626</v>
      </c>
      <c r="J60" s="520"/>
    </row>
    <row r="61" spans="1:12" s="512" customFormat="1" ht="19.5" hidden="1" customHeight="1">
      <c r="A61" s="507" t="s">
        <v>1018</v>
      </c>
      <c r="B61" s="2869"/>
      <c r="C61" s="509" t="s">
        <v>1014</v>
      </c>
      <c r="D61" s="870" t="s">
        <v>1013</v>
      </c>
      <c r="E61" s="509" t="s">
        <v>1014</v>
      </c>
      <c r="F61" s="517">
        <v>7735</v>
      </c>
      <c r="G61" s="870" t="s">
        <v>911</v>
      </c>
      <c r="H61" s="509">
        <v>860</v>
      </c>
      <c r="I61" s="517">
        <v>38620</v>
      </c>
      <c r="J61" s="520"/>
      <c r="K61" s="520">
        <f>SUM(F58:F61)</f>
        <v>25170</v>
      </c>
      <c r="L61" s="520">
        <f>SUM(I58:I61)</f>
        <v>61160</v>
      </c>
    </row>
    <row r="62" spans="1:12" s="512" customFormat="1" ht="19.5" hidden="1" customHeight="1">
      <c r="A62" s="507" t="s">
        <v>1019</v>
      </c>
      <c r="B62" s="871" t="s">
        <v>1008</v>
      </c>
      <c r="C62" s="509" t="s">
        <v>1027</v>
      </c>
      <c r="D62" s="870" t="s">
        <v>1026</v>
      </c>
      <c r="E62" s="509" t="s">
        <v>1027</v>
      </c>
      <c r="F62" s="517">
        <v>35413.81</v>
      </c>
      <c r="G62" s="870" t="s">
        <v>1077</v>
      </c>
      <c r="H62" s="509">
        <v>803</v>
      </c>
      <c r="I62" s="517">
        <v>35414</v>
      </c>
      <c r="J62" s="520"/>
      <c r="K62" s="511"/>
    </row>
    <row r="63" spans="1:12" s="512" customFormat="1" ht="19.5" hidden="1" customHeight="1">
      <c r="A63" s="507" t="s">
        <v>1020</v>
      </c>
      <c r="B63" s="871" t="s">
        <v>984</v>
      </c>
      <c r="C63" s="1104" t="s">
        <v>1029</v>
      </c>
      <c r="D63" s="1103" t="s">
        <v>1028</v>
      </c>
      <c r="E63" s="1104" t="s">
        <v>1029</v>
      </c>
      <c r="F63" s="1105">
        <v>24225</v>
      </c>
      <c r="G63" s="870" t="s">
        <v>1078</v>
      </c>
      <c r="H63" s="509">
        <v>929</v>
      </c>
      <c r="I63" s="517">
        <v>24225</v>
      </c>
      <c r="J63" s="520"/>
      <c r="K63" s="511"/>
    </row>
    <row r="64" spans="1:12" s="512" customFormat="1" ht="19.5" hidden="1" customHeight="1">
      <c r="A64" s="507" t="s">
        <v>1021</v>
      </c>
      <c r="B64" s="871"/>
      <c r="C64" s="509" t="s">
        <v>1033</v>
      </c>
      <c r="D64" s="870" t="s">
        <v>1032</v>
      </c>
      <c r="E64" s="509" t="s">
        <v>1033</v>
      </c>
      <c r="F64" s="517">
        <v>47687</v>
      </c>
      <c r="G64" s="870" t="s">
        <v>1079</v>
      </c>
      <c r="H64" s="509">
        <v>947</v>
      </c>
      <c r="I64" s="517">
        <v>47687</v>
      </c>
      <c r="J64" s="520"/>
      <c r="K64" s="511"/>
    </row>
    <row r="65" spans="1:11" s="512" customFormat="1" ht="19.5" hidden="1" customHeight="1">
      <c r="A65" s="507" t="s">
        <v>1022</v>
      </c>
      <c r="B65" s="871"/>
      <c r="C65" s="509" t="s">
        <v>1031</v>
      </c>
      <c r="D65" s="870" t="s">
        <v>1030</v>
      </c>
      <c r="E65" s="509" t="s">
        <v>1031</v>
      </c>
      <c r="F65" s="517">
        <v>5740</v>
      </c>
      <c r="G65" s="870" t="s">
        <v>1080</v>
      </c>
      <c r="H65" s="509">
        <v>994</v>
      </c>
      <c r="I65" s="517">
        <v>13340</v>
      </c>
      <c r="J65" s="520"/>
      <c r="K65" s="511"/>
    </row>
    <row r="66" spans="1:11" s="512" customFormat="1" ht="19.5" hidden="1" customHeight="1">
      <c r="A66" s="507" t="s">
        <v>1023</v>
      </c>
      <c r="B66" s="871"/>
      <c r="C66" s="509" t="s">
        <v>1034</v>
      </c>
      <c r="D66" s="870" t="s">
        <v>1036</v>
      </c>
      <c r="E66" s="509" t="s">
        <v>1034</v>
      </c>
      <c r="F66" s="517">
        <v>5500</v>
      </c>
      <c r="G66" s="870"/>
      <c r="H66" s="509"/>
      <c r="I66" s="517"/>
      <c r="J66" s="520"/>
      <c r="K66" s="520">
        <f>SUM(F65:F66)</f>
        <v>11240</v>
      </c>
    </row>
    <row r="67" spans="1:11" s="512" customFormat="1" ht="19.5" hidden="1" customHeight="1">
      <c r="A67" s="507" t="s">
        <v>1024</v>
      </c>
      <c r="B67" s="871"/>
      <c r="C67" s="509" t="s">
        <v>1037</v>
      </c>
      <c r="D67" s="870" t="s">
        <v>1035</v>
      </c>
      <c r="E67" s="509" t="s">
        <v>1037</v>
      </c>
      <c r="F67" s="517">
        <v>7600</v>
      </c>
      <c r="G67" s="870"/>
      <c r="H67" s="509"/>
      <c r="I67" s="517"/>
      <c r="J67" s="520"/>
      <c r="K67" s="511"/>
    </row>
    <row r="68" spans="1:11" s="512" customFormat="1" ht="19.5" hidden="1" customHeight="1">
      <c r="A68" s="507" t="s">
        <v>1025</v>
      </c>
      <c r="B68" s="871"/>
      <c r="C68" s="509" t="s">
        <v>1038</v>
      </c>
      <c r="D68" s="870" t="s">
        <v>1035</v>
      </c>
      <c r="E68" s="509" t="s">
        <v>1038</v>
      </c>
      <c r="F68" s="517">
        <v>3250</v>
      </c>
      <c r="G68" s="870" t="s">
        <v>1081</v>
      </c>
      <c r="H68" s="509">
        <v>1026</v>
      </c>
      <c r="I68" s="517">
        <v>3250</v>
      </c>
      <c r="J68" s="520"/>
      <c r="K68" s="511"/>
    </row>
    <row r="69" spans="1:11" s="512" customFormat="1" ht="21" hidden="1" customHeight="1">
      <c r="A69" s="507" t="s">
        <v>1041</v>
      </c>
      <c r="B69" s="871"/>
      <c r="C69" s="509" t="s">
        <v>1042</v>
      </c>
      <c r="D69" s="870" t="s">
        <v>1039</v>
      </c>
      <c r="E69" s="509" t="s">
        <v>1042</v>
      </c>
      <c r="F69" s="517">
        <v>21291</v>
      </c>
      <c r="G69" s="870"/>
      <c r="H69" s="509"/>
      <c r="I69" s="517"/>
      <c r="J69" s="520"/>
      <c r="K69" s="511"/>
    </row>
    <row r="70" spans="1:11" s="512" customFormat="1" ht="19.5" hidden="1" customHeight="1">
      <c r="A70" s="507"/>
      <c r="B70" s="1819"/>
      <c r="C70" s="509"/>
      <c r="D70" s="870"/>
      <c r="E70" s="509"/>
      <c r="F70" s="517"/>
      <c r="G70" s="870"/>
      <c r="H70" s="509"/>
      <c r="I70" s="517"/>
      <c r="J70" s="520"/>
      <c r="K70" s="511"/>
    </row>
    <row r="71" spans="1:11" s="512" customFormat="1" ht="19.5" hidden="1" customHeight="1">
      <c r="A71" s="507"/>
      <c r="B71" s="1819"/>
      <c r="C71" s="509"/>
      <c r="D71" s="870"/>
      <c r="E71" s="509"/>
      <c r="F71" s="517"/>
      <c r="G71" s="870"/>
      <c r="H71" s="509"/>
      <c r="I71" s="517"/>
      <c r="J71" s="520"/>
      <c r="K71" s="511"/>
    </row>
    <row r="72" spans="1:11" s="512" customFormat="1" ht="19.5" hidden="1" customHeight="1">
      <c r="A72" s="507"/>
      <c r="B72" s="1819"/>
      <c r="C72" s="509"/>
      <c r="D72" s="870"/>
      <c r="E72" s="509"/>
      <c r="F72" s="517"/>
      <c r="G72" s="870"/>
      <c r="H72" s="509"/>
      <c r="I72" s="517"/>
      <c r="J72" s="520"/>
      <c r="K72" s="511"/>
    </row>
    <row r="73" spans="1:11" s="512" customFormat="1" ht="19.5" hidden="1" customHeight="1">
      <c r="A73" s="507"/>
      <c r="B73" s="1819"/>
      <c r="C73" s="509"/>
      <c r="D73" s="870"/>
      <c r="E73" s="509"/>
      <c r="F73" s="517"/>
      <c r="G73" s="870"/>
      <c r="H73" s="509"/>
      <c r="I73" s="517"/>
      <c r="J73" s="520"/>
      <c r="K73" s="511"/>
    </row>
    <row r="74" spans="1:11" s="512" customFormat="1" ht="19.5" hidden="1" customHeight="1">
      <c r="A74" s="507"/>
      <c r="B74" s="1819"/>
      <c r="C74" s="509"/>
      <c r="D74" s="870"/>
      <c r="E74" s="509"/>
      <c r="F74" s="517"/>
      <c r="G74" s="870"/>
      <c r="H74" s="509"/>
      <c r="I74" s="517"/>
      <c r="J74" s="520"/>
      <c r="K74" s="511"/>
    </row>
    <row r="75" spans="1:11" s="512" customFormat="1" ht="19.5" hidden="1" customHeight="1">
      <c r="A75" s="507"/>
      <c r="B75" s="1819"/>
      <c r="C75" s="509"/>
      <c r="D75" s="870"/>
      <c r="E75" s="509"/>
      <c r="F75" s="517"/>
      <c r="G75" s="870"/>
      <c r="H75" s="509"/>
      <c r="I75" s="517"/>
      <c r="J75" s="520"/>
      <c r="K75" s="511"/>
    </row>
    <row r="76" spans="1:11" s="512" customFormat="1" ht="19.5" hidden="1" customHeight="1">
      <c r="A76" s="507"/>
      <c r="B76" s="1819"/>
      <c r="C76" s="509"/>
      <c r="D76" s="870"/>
      <c r="E76" s="509"/>
      <c r="F76" s="517"/>
      <c r="G76" s="870"/>
      <c r="H76" s="509"/>
      <c r="I76" s="517"/>
      <c r="J76" s="520"/>
      <c r="K76" s="511"/>
    </row>
    <row r="77" spans="1:11" s="512" customFormat="1" ht="19.5" hidden="1" customHeight="1">
      <c r="A77" s="507"/>
      <c r="B77" s="1819"/>
      <c r="C77" s="509"/>
      <c r="D77" s="870"/>
      <c r="E77" s="509"/>
      <c r="F77" s="517"/>
      <c r="G77" s="870"/>
      <c r="H77" s="509"/>
      <c r="I77" s="517"/>
      <c r="J77" s="520"/>
      <c r="K77" s="511"/>
    </row>
    <row r="78" spans="1:11" s="512" customFormat="1" ht="19.5" hidden="1" customHeight="1">
      <c r="A78" s="507"/>
      <c r="B78" s="1819"/>
      <c r="C78" s="509"/>
      <c r="D78" s="870"/>
      <c r="E78" s="509"/>
      <c r="F78" s="517"/>
      <c r="G78" s="870"/>
      <c r="H78" s="509"/>
      <c r="I78" s="517"/>
      <c r="J78" s="520"/>
      <c r="K78" s="511"/>
    </row>
    <row r="79" spans="1:11" s="512" customFormat="1" ht="19.5" hidden="1" customHeight="1">
      <c r="A79" s="507"/>
      <c r="B79" s="1819"/>
      <c r="C79" s="509"/>
      <c r="D79" s="870"/>
      <c r="E79" s="509"/>
      <c r="F79" s="517"/>
      <c r="G79" s="870"/>
      <c r="H79" s="509"/>
      <c r="I79" s="517"/>
      <c r="J79" s="520"/>
      <c r="K79" s="511"/>
    </row>
    <row r="80" spans="1:11" s="512" customFormat="1" ht="19.5" hidden="1" customHeight="1">
      <c r="A80" s="507"/>
      <c r="B80" s="1819"/>
      <c r="C80" s="509"/>
      <c r="D80" s="870"/>
      <c r="E80" s="509"/>
      <c r="F80" s="517"/>
      <c r="G80" s="870"/>
      <c r="H80" s="509"/>
      <c r="I80" s="517"/>
      <c r="J80" s="520"/>
      <c r="K80" s="511"/>
    </row>
    <row r="81" spans="1:21" s="512" customFormat="1" ht="19.5" hidden="1" customHeight="1">
      <c r="A81" s="507"/>
      <c r="B81" s="1819"/>
      <c r="C81" s="509"/>
      <c r="D81" s="870"/>
      <c r="E81" s="509"/>
      <c r="F81" s="517"/>
      <c r="G81" s="870"/>
      <c r="H81" s="509"/>
      <c r="I81" s="517"/>
      <c r="J81" s="520"/>
      <c r="K81" s="511"/>
    </row>
    <row r="82" spans="1:21" hidden="1">
      <c r="A82" s="514" t="s">
        <v>158</v>
      </c>
      <c r="B82" s="516"/>
      <c r="C82" s="513"/>
      <c r="D82" s="508"/>
      <c r="E82" s="513"/>
      <c r="F82" s="519">
        <f>SUM(F43:F81)</f>
        <v>432350.04</v>
      </c>
      <c r="G82" s="521"/>
      <c r="H82" s="521"/>
      <c r="I82" s="519">
        <f>SUM(I43:I81)</f>
        <v>467774.38</v>
      </c>
      <c r="J82" s="506"/>
      <c r="K82" s="47"/>
    </row>
    <row r="83" spans="1:21" ht="36" hidden="1" customHeight="1">
      <c r="A83" s="1107" t="s">
        <v>1044</v>
      </c>
      <c r="B83" s="522"/>
      <c r="C83" s="524"/>
      <c r="D83" s="523"/>
      <c r="E83" s="524"/>
      <c r="F83" s="525"/>
      <c r="G83" s="42"/>
      <c r="H83" s="42"/>
      <c r="I83" s="525"/>
      <c r="J83" s="506"/>
      <c r="K83" s="47"/>
    </row>
    <row r="84" spans="1:21" s="94" customFormat="1" hidden="1">
      <c r="A84" s="443" t="s">
        <v>1407</v>
      </c>
      <c r="K84" s="873">
        <f>I30/1.18/9*12/1000</f>
        <v>1307.6322372881359</v>
      </c>
    </row>
    <row r="85" spans="1:21" hidden="1">
      <c r="A85" s="42" t="s">
        <v>1409</v>
      </c>
      <c r="B85" s="42"/>
      <c r="C85" s="22"/>
      <c r="D85" s="42"/>
      <c r="E85" s="22"/>
      <c r="F85" s="749"/>
      <c r="G85" s="749"/>
      <c r="H85" s="749"/>
      <c r="I85" s="749"/>
      <c r="J85" s="749"/>
      <c r="K85" s="750"/>
      <c r="L85" s="749"/>
      <c r="M85" s="749"/>
      <c r="N85" s="749"/>
      <c r="O85" s="749"/>
      <c r="T85" s="79"/>
      <c r="U85" s="527"/>
    </row>
    <row r="86" spans="1:21" hidden="1">
      <c r="A86" s="42"/>
      <c r="B86" s="1109" t="s">
        <v>1045</v>
      </c>
      <c r="C86" s="237" t="s">
        <v>873</v>
      </c>
      <c r="E86" s="237" t="s">
        <v>873</v>
      </c>
      <c r="F86" s="817" t="s">
        <v>760</v>
      </c>
      <c r="G86" s="42"/>
      <c r="H86" s="42"/>
      <c r="I86" s="22"/>
      <c r="J86" s="17"/>
      <c r="K86" s="750"/>
      <c r="L86" s="749"/>
      <c r="M86" s="22"/>
      <c r="N86" s="749"/>
      <c r="O86" s="749"/>
      <c r="Q86" s="79"/>
      <c r="T86" s="80"/>
      <c r="U86" s="527"/>
    </row>
    <row r="87" spans="1:21" hidden="1">
      <c r="C87" s="17">
        <v>404.79700000000003</v>
      </c>
      <c r="D87" s="52" t="s">
        <v>1406</v>
      </c>
      <c r="E87" s="17">
        <v>404.79700000000003</v>
      </c>
      <c r="F87" s="875">
        <f>C87/$C$92*100</f>
        <v>17.307915137568589</v>
      </c>
      <c r="G87" s="52"/>
      <c r="J87" s="17"/>
      <c r="K87" s="193">
        <f>'П1.30 - 07.06.11г.'!C76</f>
        <v>6486.5829999999987</v>
      </c>
      <c r="L87" s="6"/>
      <c r="M87" s="6"/>
      <c r="N87" s="6"/>
      <c r="O87" s="6"/>
      <c r="T87" s="815" t="e">
        <f>C90/$C$28*100</f>
        <v>#DIV/0!</v>
      </c>
      <c r="U87" s="527"/>
    </row>
    <row r="88" spans="1:21" hidden="1">
      <c r="B88" s="55"/>
      <c r="C88" s="55"/>
      <c r="D88" s="55" t="s">
        <v>1048</v>
      </c>
      <c r="E88" s="55"/>
      <c r="G88" s="52"/>
      <c r="J88" s="17"/>
      <c r="K88" s="193"/>
      <c r="L88" s="6"/>
      <c r="M88" s="6"/>
      <c r="N88" s="6"/>
      <c r="O88" s="6"/>
      <c r="T88" s="815"/>
      <c r="U88" s="527"/>
    </row>
    <row r="89" spans="1:21" hidden="1">
      <c r="B89" s="55"/>
      <c r="C89" s="55">
        <f>'П1.30 - 07.06.11г.'!$C$28</f>
        <v>531.55799999999999</v>
      </c>
      <c r="D89" s="547" t="s">
        <v>1046</v>
      </c>
      <c r="E89" s="55">
        <f>'П1.30 - 07.06.11г.'!$C$28</f>
        <v>531.55799999999999</v>
      </c>
      <c r="G89" s="52"/>
      <c r="J89" s="17"/>
      <c r="K89" s="193"/>
      <c r="L89" s="6"/>
      <c r="M89" s="6"/>
      <c r="N89" s="6"/>
      <c r="O89" s="6"/>
      <c r="T89" s="815"/>
      <c r="U89" s="527"/>
    </row>
    <row r="90" spans="1:21" hidden="1">
      <c r="B90" s="547"/>
      <c r="C90" s="816">
        <f>16.5+40</f>
        <v>56.5</v>
      </c>
      <c r="D90" s="547" t="s">
        <v>1049</v>
      </c>
      <c r="E90" s="816">
        <f>16.5+40</f>
        <v>56.5</v>
      </c>
      <c r="G90" s="52"/>
      <c r="J90" s="17"/>
      <c r="K90" s="193"/>
      <c r="L90" s="6"/>
      <c r="M90" s="6"/>
      <c r="N90" s="6"/>
      <c r="O90" s="6"/>
      <c r="T90" s="815"/>
      <c r="U90" s="527"/>
    </row>
    <row r="91" spans="1:21" hidden="1">
      <c r="B91" s="52" t="s">
        <v>875</v>
      </c>
      <c r="C91" s="608">
        <f>'[10]стр-ра пол.отп. 2014г.'!$D$23+'[10]стр-ра пол.отп. 2014г.'!$E$23+'[10]стр-ра пол.отп. 2014г.'!$F$23</f>
        <v>1934</v>
      </c>
      <c r="E91" s="608">
        <f>'[10]стр-ра пол.отп. 2014г.'!$D$23+'[10]стр-ра пол.отп. 2014г.'!$E$23+'[10]стр-ра пол.отп. 2014г.'!$F$23</f>
        <v>1934</v>
      </c>
      <c r="F91" s="875">
        <f>C91/$C$92*100</f>
        <v>82.692084862431415</v>
      </c>
      <c r="J91" s="17">
        <f>825+807</f>
        <v>1632</v>
      </c>
      <c r="K91" s="193">
        <f>'2012 Баланс  '!C69</f>
        <v>0</v>
      </c>
      <c r="L91" s="6"/>
      <c r="M91" s="6"/>
      <c r="N91" s="6"/>
      <c r="O91" s="6"/>
      <c r="T91" s="815" t="e">
        <f>C91/$C$28*100</f>
        <v>#DIV/0!</v>
      </c>
      <c r="U91" s="527"/>
    </row>
    <row r="92" spans="1:21" hidden="1">
      <c r="B92" s="52" t="s">
        <v>158</v>
      </c>
      <c r="C92" s="608">
        <f>C87+C91</f>
        <v>2338.797</v>
      </c>
      <c r="E92" s="608">
        <f>E87+E91</f>
        <v>2338.797</v>
      </c>
      <c r="F92" s="876">
        <f>SUM(F87:F91)</f>
        <v>100</v>
      </c>
      <c r="J92" s="17"/>
      <c r="K92" s="193">
        <f>SUM(K87:K91)</f>
        <v>6486.5829999999987</v>
      </c>
      <c r="L92" s="6"/>
      <c r="M92" s="6"/>
      <c r="N92" s="6"/>
      <c r="O92" s="6"/>
      <c r="T92" s="815" t="e">
        <f>C92/$C$28*100</f>
        <v>#DIV/0!</v>
      </c>
      <c r="U92" s="527"/>
    </row>
    <row r="93" spans="1:21" s="94" customFormat="1" hidden="1">
      <c r="A93" s="443" t="s">
        <v>1408</v>
      </c>
      <c r="K93" s="873">
        <f>I31/1.18/9*12/1000</f>
        <v>0</v>
      </c>
    </row>
    <row r="94" spans="1:21" s="94" customFormat="1" hidden="1">
      <c r="A94" s="94" t="s">
        <v>1051</v>
      </c>
      <c r="F94" s="872" t="s">
        <v>1410</v>
      </c>
      <c r="G94" s="752">
        <f>$F$82/1000/1.18*1.071*$F$87/100</f>
        <v>67.918443440589286</v>
      </c>
      <c r="H94" s="108" t="s">
        <v>868</v>
      </c>
      <c r="K94" s="873"/>
    </row>
    <row r="95" spans="1:21" s="94" customFormat="1" hidden="1">
      <c r="A95" s="94" t="s">
        <v>1440</v>
      </c>
      <c r="J95" s="167"/>
    </row>
    <row r="96" spans="1:21" s="94" customFormat="1" hidden="1">
      <c r="C96" s="872" t="s">
        <v>1441</v>
      </c>
      <c r="E96" s="872" t="s">
        <v>1441</v>
      </c>
      <c r="F96" s="752">
        <f>$G$94*1.054</f>
        <v>71.586039386381117</v>
      </c>
      <c r="G96" s="108" t="s">
        <v>1057</v>
      </c>
      <c r="J96" s="167"/>
    </row>
    <row r="97" spans="1:10" s="94" customFormat="1" hidden="1">
      <c r="D97" s="874"/>
      <c r="J97" s="167"/>
    </row>
    <row r="98" spans="1:10" s="94" customFormat="1" hidden="1">
      <c r="A98" s="108" t="s">
        <v>1055</v>
      </c>
      <c r="J98" s="167"/>
    </row>
    <row r="99" spans="1:10" hidden="1">
      <c r="A99" s="17" t="s">
        <v>1056</v>
      </c>
    </row>
    <row r="100" spans="1:10" hidden="1">
      <c r="B100" s="1112"/>
      <c r="C100" s="1133" t="s">
        <v>1411</v>
      </c>
      <c r="D100" s="1112"/>
      <c r="E100" s="1133" t="s">
        <v>1411</v>
      </c>
      <c r="F100" s="1114">
        <f>F36+G94</f>
        <v>1225.1729734405894</v>
      </c>
      <c r="G100" s="1115" t="s">
        <v>84</v>
      </c>
    </row>
    <row r="101" spans="1:10" hidden="1">
      <c r="B101" s="1112"/>
      <c r="C101" s="1133" t="s">
        <v>1412</v>
      </c>
      <c r="D101" s="1112"/>
      <c r="E101" s="1133" t="s">
        <v>1412</v>
      </c>
      <c r="F101" s="1114">
        <f>D38+F96</f>
        <v>1320.2636772563812</v>
      </c>
      <c r="G101" s="1115" t="s">
        <v>84</v>
      </c>
    </row>
    <row r="103" spans="1:10" ht="13.5" customHeight="1"/>
    <row r="104" spans="1:10">
      <c r="A104" s="51" t="s">
        <v>227</v>
      </c>
    </row>
    <row r="105" spans="1:10">
      <c r="A105" s="51" t="s">
        <v>236</v>
      </c>
    </row>
  </sheetData>
  <mergeCells count="13">
    <mergeCell ref="B56:B57"/>
    <mergeCell ref="G56:G57"/>
    <mergeCell ref="H56:H57"/>
    <mergeCell ref="I56:I57"/>
    <mergeCell ref="B58:B61"/>
    <mergeCell ref="B43:B55"/>
    <mergeCell ref="G47:G48"/>
    <mergeCell ref="H47:H48"/>
    <mergeCell ref="I47:I48"/>
    <mergeCell ref="B6:B13"/>
    <mergeCell ref="G15:G17"/>
    <mergeCell ref="H15:H17"/>
    <mergeCell ref="I15:I17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landscape" r:id="rId1"/>
  <headerFooter alignWithMargins="0">
    <oddFooter>&amp;R&amp;P</oddFooter>
  </headerFooter>
  <rowBreaks count="1" manualBreakCount="1">
    <brk id="39" max="16383" man="1"/>
  </rowBreaks>
  <colBreaks count="1" manualBreakCount="1">
    <brk id="9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7030A0"/>
  </sheetPr>
  <dimension ref="A1:T99"/>
  <sheetViews>
    <sheetView zoomScaleNormal="100" workbookViewId="0">
      <pane ySplit="4" topLeftCell="A55" activePane="bottomLeft" state="frozenSplit"/>
      <selection activeCell="I46" sqref="I46"/>
      <selection pane="bottomLeft" activeCell="D81" sqref="D81"/>
    </sheetView>
  </sheetViews>
  <sheetFormatPr defaultColWidth="9.109375" defaultRowHeight="15.6"/>
  <cols>
    <col min="1" max="1" width="3.33203125" style="17" customWidth="1"/>
    <col min="2" max="2" width="23.88671875" style="17" customWidth="1"/>
    <col min="3" max="3" width="8.88671875" style="17" customWidth="1"/>
    <col min="4" max="4" width="16.5546875" style="17" customWidth="1"/>
    <col min="5" max="5" width="14" style="17" customWidth="1"/>
    <col min="6" max="6" width="9.6640625" style="17" customWidth="1"/>
    <col min="7" max="7" width="16.88671875" style="17" customWidth="1"/>
    <col min="8" max="8" width="16" style="17" customWidth="1"/>
    <col min="9" max="9" width="19.109375" style="124" customWidth="1"/>
    <col min="10" max="10" width="15.44140625" style="17" customWidth="1"/>
    <col min="11" max="11" width="11.33203125" style="17" bestFit="1" customWidth="1"/>
    <col min="12" max="16384" width="9.109375" style="17"/>
  </cols>
  <sheetData>
    <row r="1" spans="1:10" ht="47.4">
      <c r="A1" s="500" t="s">
        <v>1364</v>
      </c>
      <c r="B1" s="50"/>
      <c r="C1" s="50"/>
      <c r="D1" s="50"/>
      <c r="E1" s="50"/>
      <c r="F1" s="50"/>
      <c r="G1" s="50"/>
      <c r="H1" s="50"/>
      <c r="I1" s="501"/>
      <c r="J1" s="38"/>
    </row>
    <row r="2" spans="1:10" ht="18">
      <c r="A2"/>
      <c r="B2"/>
      <c r="C2"/>
      <c r="D2"/>
      <c r="E2" s="502"/>
      <c r="F2"/>
      <c r="G2" s="754" t="s">
        <v>848</v>
      </c>
      <c r="H2" s="502"/>
      <c r="I2" s="503"/>
      <c r="J2" s="38"/>
    </row>
    <row r="3" spans="1:10" ht="18">
      <c r="A3"/>
      <c r="B3"/>
      <c r="C3"/>
      <c r="D3"/>
      <c r="E3"/>
      <c r="F3"/>
      <c r="G3"/>
      <c r="H3"/>
      <c r="I3" s="503"/>
      <c r="J3" s="38"/>
    </row>
    <row r="4" spans="1:10" ht="44.4">
      <c r="A4" s="44" t="s">
        <v>229</v>
      </c>
      <c r="B4" s="504" t="s">
        <v>631</v>
      </c>
      <c r="C4" s="504" t="s">
        <v>632</v>
      </c>
      <c r="D4" s="504" t="s">
        <v>633</v>
      </c>
      <c r="E4" s="505" t="s">
        <v>634</v>
      </c>
      <c r="F4" s="504" t="s">
        <v>632</v>
      </c>
      <c r="G4" s="504" t="s">
        <v>246</v>
      </c>
      <c r="H4" s="505" t="s">
        <v>635</v>
      </c>
      <c r="I4" s="506"/>
      <c r="J4" s="47"/>
    </row>
    <row r="5" spans="1:10">
      <c r="A5" s="1100" t="s">
        <v>982</v>
      </c>
      <c r="B5" s="1101"/>
      <c r="C5" s="1101"/>
      <c r="D5" s="1101"/>
      <c r="E5" s="1101"/>
      <c r="F5" s="1101"/>
      <c r="G5" s="1101"/>
      <c r="H5" s="1102"/>
      <c r="I5" s="506"/>
      <c r="J5" s="47"/>
    </row>
    <row r="6" spans="1:10">
      <c r="A6" s="1097" t="s">
        <v>1365</v>
      </c>
      <c r="B6" s="1098"/>
      <c r="C6" s="1098"/>
      <c r="D6" s="1098"/>
      <c r="E6" s="1098"/>
      <c r="F6" s="1098"/>
      <c r="G6" s="1098"/>
      <c r="H6" s="1099"/>
      <c r="I6" s="506"/>
      <c r="J6" s="47"/>
    </row>
    <row r="7" spans="1:10" s="512" customFormat="1" ht="20.25" customHeight="1">
      <c r="A7" s="507" t="s">
        <v>76</v>
      </c>
      <c r="B7" s="2901" t="s">
        <v>876</v>
      </c>
      <c r="C7" s="16" t="s">
        <v>1366</v>
      </c>
      <c r="D7" s="509" t="s">
        <v>1367</v>
      </c>
      <c r="E7" s="517">
        <v>2526.4</v>
      </c>
      <c r="F7" s="16" t="s">
        <v>1386</v>
      </c>
      <c r="G7" s="509" t="s">
        <v>1387</v>
      </c>
      <c r="H7" s="517">
        <v>2526.4</v>
      </c>
      <c r="I7" s="520"/>
      <c r="J7" s="511"/>
    </row>
    <row r="8" spans="1:10" s="512" customFormat="1" ht="20.25" customHeight="1">
      <c r="A8" s="507" t="s">
        <v>77</v>
      </c>
      <c r="B8" s="2909"/>
      <c r="C8" s="16" t="s">
        <v>1369</v>
      </c>
      <c r="D8" s="509" t="s">
        <v>1368</v>
      </c>
      <c r="E8" s="517">
        <v>101393.21</v>
      </c>
      <c r="F8" s="16" t="s">
        <v>1388</v>
      </c>
      <c r="G8" s="219" t="s">
        <v>1389</v>
      </c>
      <c r="H8" s="517">
        <v>153883.42000000001</v>
      </c>
      <c r="I8" s="510"/>
      <c r="J8" s="511"/>
    </row>
    <row r="9" spans="1:10" s="512" customFormat="1" ht="20.25" customHeight="1">
      <c r="A9" s="515" t="s">
        <v>78</v>
      </c>
      <c r="B9" s="2909"/>
      <c r="C9" s="16" t="s">
        <v>1370</v>
      </c>
      <c r="D9" s="509" t="s">
        <v>1371</v>
      </c>
      <c r="E9" s="517">
        <v>52524.22</v>
      </c>
      <c r="F9" s="16" t="s">
        <v>1391</v>
      </c>
      <c r="G9" s="219" t="s">
        <v>1392</v>
      </c>
      <c r="H9" s="517">
        <v>34.01</v>
      </c>
      <c r="I9" s="520">
        <f>SUM(E8:E9)</f>
        <v>153917.43</v>
      </c>
      <c r="J9" s="511">
        <f>I9-H8</f>
        <v>34.009999999980209</v>
      </c>
    </row>
    <row r="10" spans="1:10" s="512" customFormat="1" ht="20.25" customHeight="1">
      <c r="A10" s="507" t="s">
        <v>79</v>
      </c>
      <c r="B10" s="2909"/>
      <c r="C10" s="16" t="s">
        <v>1372</v>
      </c>
      <c r="D10" s="509" t="s">
        <v>1373</v>
      </c>
      <c r="E10" s="517">
        <v>69779.95</v>
      </c>
      <c r="F10" s="16" t="s">
        <v>1382</v>
      </c>
      <c r="G10" s="509" t="s">
        <v>1383</v>
      </c>
      <c r="H10" s="517">
        <v>69779.95</v>
      </c>
      <c r="I10" s="510"/>
      <c r="J10" s="511"/>
    </row>
    <row r="11" spans="1:10" s="512" customFormat="1" ht="20.25" customHeight="1">
      <c r="A11" s="515" t="s">
        <v>80</v>
      </c>
      <c r="B11" s="2909"/>
      <c r="C11" s="16" t="s">
        <v>1374</v>
      </c>
      <c r="D11" s="509" t="s">
        <v>1375</v>
      </c>
      <c r="E11" s="517">
        <v>242558.48</v>
      </c>
      <c r="F11" s="16" t="s">
        <v>1384</v>
      </c>
      <c r="G11" s="509" t="s">
        <v>1385</v>
      </c>
      <c r="H11" s="517">
        <v>242558.48</v>
      </c>
      <c r="I11" s="520"/>
      <c r="J11" s="511"/>
    </row>
    <row r="12" spans="1:10" s="512" customFormat="1" ht="20.25" customHeight="1">
      <c r="A12" s="515" t="s">
        <v>81</v>
      </c>
      <c r="B12" s="2909" t="s">
        <v>1376</v>
      </c>
      <c r="C12" s="16" t="s">
        <v>1379</v>
      </c>
      <c r="D12" s="509" t="s">
        <v>1380</v>
      </c>
      <c r="E12" s="517">
        <v>4169.58</v>
      </c>
      <c r="F12" s="2910" t="s">
        <v>1386</v>
      </c>
      <c r="G12" s="2872" t="s">
        <v>1390</v>
      </c>
      <c r="H12" s="2874">
        <v>7730.56</v>
      </c>
      <c r="J12" s="511"/>
    </row>
    <row r="13" spans="1:10" s="512" customFormat="1" ht="20.25" customHeight="1">
      <c r="A13" s="515" t="s">
        <v>82</v>
      </c>
      <c r="B13" s="2909"/>
      <c r="C13" s="16" t="s">
        <v>1377</v>
      </c>
      <c r="D13" s="509" t="s">
        <v>1378</v>
      </c>
      <c r="E13" s="517">
        <v>908.97</v>
      </c>
      <c r="F13" s="2911"/>
      <c r="G13" s="2880"/>
      <c r="H13" s="2881"/>
      <c r="I13" s="520"/>
      <c r="J13" s="510"/>
    </row>
    <row r="14" spans="1:10" s="512" customFormat="1" ht="20.25" customHeight="1">
      <c r="A14" s="515" t="s">
        <v>83</v>
      </c>
      <c r="B14" s="2909"/>
      <c r="C14" s="16" t="s">
        <v>1381</v>
      </c>
      <c r="D14" s="509" t="s">
        <v>1378</v>
      </c>
      <c r="E14" s="517">
        <v>2652.01</v>
      </c>
      <c r="F14" s="2912"/>
      <c r="G14" s="2873"/>
      <c r="H14" s="2875"/>
      <c r="I14" s="520">
        <f>SUM(E12:E14)</f>
        <v>7730.56</v>
      </c>
      <c r="J14" s="511"/>
    </row>
    <row r="15" spans="1:10" s="512" customFormat="1" ht="20.25" hidden="1" customHeight="1">
      <c r="A15" s="515"/>
      <c r="B15" s="1628"/>
      <c r="C15"/>
      <c r="D15" s="1104"/>
      <c r="E15" s="1105"/>
      <c r="F15"/>
      <c r="G15" s="1104"/>
      <c r="H15" s="1105"/>
      <c r="I15" s="520"/>
      <c r="J15" s="511"/>
    </row>
    <row r="16" spans="1:10" s="512" customFormat="1" ht="20.25" hidden="1" customHeight="1">
      <c r="A16" s="515"/>
      <c r="B16" s="1628"/>
      <c r="C16"/>
      <c r="D16" s="1104"/>
      <c r="E16"/>
      <c r="F16"/>
      <c r="G16" s="1104"/>
      <c r="H16" s="1105"/>
      <c r="I16" s="520"/>
      <c r="J16" s="520"/>
    </row>
    <row r="17" spans="1:10" s="512" customFormat="1" ht="20.25" hidden="1" customHeight="1">
      <c r="A17" s="507"/>
      <c r="B17" s="1628"/>
      <c r="C17"/>
      <c r="D17" s="1104"/>
      <c r="E17"/>
      <c r="F17"/>
      <c r="G17" s="1104"/>
      <c r="H17"/>
      <c r="I17" s="520"/>
      <c r="J17" s="511"/>
    </row>
    <row r="18" spans="1:10" s="512" customFormat="1" ht="19.5" hidden="1" customHeight="1">
      <c r="A18" s="507"/>
      <c r="B18" s="1628"/>
      <c r="C18"/>
      <c r="D18" s="1104"/>
      <c r="E18" s="1105"/>
      <c r="F18"/>
      <c r="G18" s="1104"/>
      <c r="H18" s="1105"/>
      <c r="I18" s="520"/>
      <c r="J18" s="511"/>
    </row>
    <row r="19" spans="1:10" s="512" customFormat="1" ht="19.5" hidden="1" customHeight="1">
      <c r="A19" s="507"/>
      <c r="B19" s="1628"/>
      <c r="C19"/>
      <c r="D19" s="1104"/>
      <c r="E19" s="1105"/>
      <c r="F19"/>
      <c r="G19" s="1104"/>
      <c r="H19" s="1105"/>
      <c r="I19" s="520"/>
      <c r="J19" s="511"/>
    </row>
    <row r="20" spans="1:10" s="512" customFormat="1" ht="19.5" hidden="1" customHeight="1">
      <c r="A20" s="507"/>
      <c r="B20" s="1628"/>
      <c r="C20"/>
      <c r="D20" s="1104"/>
      <c r="E20" s="1105"/>
      <c r="F20"/>
      <c r="G20" s="1104"/>
      <c r="H20" s="1105"/>
      <c r="I20" s="520"/>
      <c r="J20" s="511"/>
    </row>
    <row r="21" spans="1:10" s="512" customFormat="1" ht="19.5" hidden="1" customHeight="1">
      <c r="A21" s="507"/>
      <c r="B21" s="1628"/>
      <c r="C21"/>
      <c r="D21" s="1104"/>
      <c r="E21" s="1105"/>
      <c r="F21"/>
      <c r="G21" s="1104"/>
      <c r="H21" s="1105"/>
      <c r="I21" s="520"/>
      <c r="J21" s="511"/>
    </row>
    <row r="22" spans="1:10" s="512" customFormat="1" ht="19.5" hidden="1" customHeight="1">
      <c r="A22" s="507"/>
      <c r="B22" s="1628"/>
      <c r="C22" s="1103"/>
      <c r="D22" s="1104"/>
      <c r="E22" s="1105"/>
      <c r="F22"/>
      <c r="G22" s="1104"/>
      <c r="H22" s="1105"/>
      <c r="I22" s="520"/>
      <c r="J22" s="511"/>
    </row>
    <row r="23" spans="1:10" s="512" customFormat="1" ht="19.5" hidden="1" customHeight="1">
      <c r="A23" s="507"/>
      <c r="B23" s="871"/>
      <c r="C23" s="1103"/>
      <c r="D23" s="1104"/>
      <c r="E23" s="1105"/>
      <c r="F23"/>
      <c r="G23" s="1104"/>
      <c r="H23" s="1105"/>
      <c r="I23" s="520"/>
      <c r="J23" s="511"/>
    </row>
    <row r="24" spans="1:10" s="512" customFormat="1" ht="19.5" hidden="1" customHeight="1">
      <c r="A24" s="507"/>
      <c r="B24" s="496"/>
      <c r="C24" s="870"/>
      <c r="D24" s="509"/>
      <c r="E24" s="517"/>
      <c r="F24"/>
      <c r="G24" s="509"/>
      <c r="H24" s="517"/>
      <c r="I24" s="520">
        <f>SUM(E20:E24)</f>
        <v>0</v>
      </c>
      <c r="J24" s="511"/>
    </row>
    <row r="25" spans="1:10" s="512" customFormat="1" ht="19.5" hidden="1" customHeight="1">
      <c r="A25" s="507"/>
      <c r="B25" s="496"/>
      <c r="C25" s="870"/>
      <c r="D25" s="509"/>
      <c r="E25" s="517"/>
      <c r="F25"/>
      <c r="G25" s="509"/>
      <c r="H25" s="517"/>
      <c r="I25" s="520">
        <f>SUM(E21:E25)</f>
        <v>0</v>
      </c>
      <c r="J25" s="511"/>
    </row>
    <row r="26" spans="1:10" s="512" customFormat="1" ht="19.5" hidden="1" customHeight="1">
      <c r="A26" s="507"/>
      <c r="B26" s="496"/>
      <c r="C26" s="870"/>
      <c r="D26" s="509"/>
      <c r="E26" s="517"/>
      <c r="F26"/>
      <c r="G26" s="509"/>
      <c r="H26" s="517"/>
      <c r="I26" s="520">
        <f>SUM(E22:E26)</f>
        <v>0</v>
      </c>
      <c r="J26" s="511"/>
    </row>
    <row r="27" spans="1:10">
      <c r="A27" s="514" t="s">
        <v>158</v>
      </c>
      <c r="B27" s="516"/>
      <c r="C27" s="508"/>
      <c r="D27" s="513"/>
      <c r="E27" s="519">
        <f>SUM(E7:E26)</f>
        <v>476512.82</v>
      </c>
      <c r="F27" s="1629"/>
      <c r="G27" s="1633"/>
      <c r="H27" s="519">
        <f>SUM(H7:H26)</f>
        <v>476512.82</v>
      </c>
      <c r="I27"/>
      <c r="J27" s="47"/>
    </row>
    <row r="28" spans="1:10" ht="36" customHeight="1">
      <c r="A28" s="1130" t="s">
        <v>1043</v>
      </c>
      <c r="B28" s="522"/>
      <c r="C28" s="523"/>
      <c r="D28" s="524"/>
      <c r="E28" s="525"/>
      <c r="F28" s="42"/>
      <c r="G28" s="42"/>
      <c r="H28" s="525"/>
      <c r="I28" s="506"/>
      <c r="J28" s="47"/>
    </row>
    <row r="29" spans="1:10" s="94" customFormat="1" ht="18">
      <c r="A29" s="443" t="s">
        <v>1395</v>
      </c>
      <c r="J29" s="873"/>
    </row>
    <row r="30" spans="1:10" s="94" customFormat="1">
      <c r="C30" s="872" t="s">
        <v>1393</v>
      </c>
      <c r="D30" s="752">
        <f>$H$27/1000/1.18*1.071</f>
        <v>432.49595781355936</v>
      </c>
      <c r="E30" s="108" t="s">
        <v>868</v>
      </c>
      <c r="J30" s="873"/>
    </row>
    <row r="31" spans="1:10" s="94" customFormat="1" ht="18">
      <c r="A31" s="94" t="s">
        <v>1394</v>
      </c>
      <c r="I31" s="167"/>
    </row>
    <row r="32" spans="1:10" s="94" customFormat="1" ht="13.5" customHeight="1">
      <c r="B32" s="872" t="s">
        <v>1396</v>
      </c>
      <c r="C32" s="752">
        <f>D30*1.054</f>
        <v>455.85073953549158</v>
      </c>
      <c r="D32" s="108" t="s">
        <v>84</v>
      </c>
      <c r="I32" s="167"/>
    </row>
    <row r="33" spans="1:11" s="94" customFormat="1">
      <c r="B33" s="872"/>
      <c r="C33" s="1106"/>
      <c r="D33" s="108"/>
      <c r="I33" s="167"/>
    </row>
    <row r="34" spans="1:11" ht="44.4">
      <c r="A34" s="44" t="s">
        <v>229</v>
      </c>
      <c r="B34" s="504" t="s">
        <v>631</v>
      </c>
      <c r="C34" s="504" t="s">
        <v>632</v>
      </c>
      <c r="D34" s="504" t="s">
        <v>633</v>
      </c>
      <c r="E34" s="505" t="s">
        <v>634</v>
      </c>
      <c r="F34" s="504" t="s">
        <v>632</v>
      </c>
      <c r="G34" s="504" t="s">
        <v>246</v>
      </c>
      <c r="H34" s="505" t="s">
        <v>635</v>
      </c>
      <c r="I34" s="506"/>
      <c r="J34" s="47"/>
    </row>
    <row r="35" spans="1:11">
      <c r="A35" s="1100" t="s">
        <v>983</v>
      </c>
      <c r="B35" s="1101"/>
      <c r="C35" s="1101"/>
      <c r="D35" s="1101"/>
      <c r="E35" s="1101"/>
      <c r="F35" s="1101"/>
      <c r="G35" s="1101"/>
      <c r="H35" s="1102"/>
      <c r="I35" s="506"/>
      <c r="J35" s="47"/>
    </row>
    <row r="36" spans="1:11">
      <c r="A36" s="1097" t="s">
        <v>849</v>
      </c>
      <c r="B36" s="1098"/>
      <c r="C36" s="1098"/>
      <c r="D36" s="1098"/>
      <c r="E36" s="1098"/>
      <c r="F36" s="1098"/>
      <c r="G36" s="1098"/>
      <c r="H36" s="1099"/>
      <c r="I36" s="506"/>
      <c r="J36" s="47"/>
    </row>
    <row r="37" spans="1:11" s="512" customFormat="1" ht="19.5" customHeight="1">
      <c r="A37" s="507" t="s">
        <v>76</v>
      </c>
      <c r="B37" s="2882" t="s">
        <v>984</v>
      </c>
      <c r="C37" s="870" t="s">
        <v>985</v>
      </c>
      <c r="D37" s="509" t="s">
        <v>1040</v>
      </c>
      <c r="E37" s="517">
        <v>15642.8</v>
      </c>
      <c r="F37" s="870" t="s">
        <v>1062</v>
      </c>
      <c r="G37" s="509">
        <v>68</v>
      </c>
      <c r="H37" s="517">
        <v>37678.5</v>
      </c>
      <c r="I37" s="520"/>
      <c r="J37" s="511"/>
    </row>
    <row r="38" spans="1:11" s="512" customFormat="1" ht="19.5" customHeight="1">
      <c r="A38" s="507" t="s">
        <v>77</v>
      </c>
      <c r="B38" s="2883"/>
      <c r="C38" s="870" t="s">
        <v>987</v>
      </c>
      <c r="D38" s="509" t="s">
        <v>988</v>
      </c>
      <c r="E38" s="517">
        <v>20392.5</v>
      </c>
      <c r="F38" s="870" t="s">
        <v>1063</v>
      </c>
      <c r="G38" s="509">
        <v>98</v>
      </c>
      <c r="H38" s="517">
        <v>3180</v>
      </c>
      <c r="I38" s="520"/>
      <c r="J38" s="520">
        <f>SUM(E37:E38)</f>
        <v>36035.300000000003</v>
      </c>
      <c r="K38" s="520">
        <f>SUM(H37:H38)</f>
        <v>40858.5</v>
      </c>
    </row>
    <row r="39" spans="1:11" s="512" customFormat="1" ht="20.25" customHeight="1">
      <c r="A39" s="515" t="s">
        <v>78</v>
      </c>
      <c r="B39" s="2884"/>
      <c r="C39" s="870" t="s">
        <v>989</v>
      </c>
      <c r="D39" s="509" t="s">
        <v>990</v>
      </c>
      <c r="E39" s="517">
        <v>24197</v>
      </c>
      <c r="F39" s="870" t="s">
        <v>1065</v>
      </c>
      <c r="G39" s="509">
        <v>119</v>
      </c>
      <c r="H39" s="517">
        <v>24197</v>
      </c>
      <c r="I39" s="510"/>
      <c r="J39" s="511"/>
    </row>
    <row r="40" spans="1:11" s="512" customFormat="1" ht="20.25" customHeight="1">
      <c r="A40" s="507" t="s">
        <v>79</v>
      </c>
      <c r="B40" s="2884"/>
      <c r="C40" s="870" t="s">
        <v>991</v>
      </c>
      <c r="D40" s="509" t="s">
        <v>992</v>
      </c>
      <c r="E40" s="517">
        <v>6850</v>
      </c>
      <c r="F40" s="870" t="s">
        <v>1067</v>
      </c>
      <c r="G40" s="509">
        <v>231</v>
      </c>
      <c r="H40" s="517">
        <v>6850</v>
      </c>
      <c r="I40" s="520"/>
      <c r="J40" s="511"/>
    </row>
    <row r="41" spans="1:11" s="512" customFormat="1" ht="20.25" customHeight="1">
      <c r="A41" s="515" t="s">
        <v>80</v>
      </c>
      <c r="B41" s="2884"/>
      <c r="C41" s="870" t="s">
        <v>993</v>
      </c>
      <c r="D41" s="509" t="s">
        <v>994</v>
      </c>
      <c r="E41" s="517">
        <v>78415.88</v>
      </c>
      <c r="F41" s="2870" t="s">
        <v>1064</v>
      </c>
      <c r="G41" s="2872">
        <v>196</v>
      </c>
      <c r="H41" s="2874">
        <v>86085.88</v>
      </c>
      <c r="I41" s="510"/>
      <c r="J41" s="511"/>
    </row>
    <row r="42" spans="1:11" s="512" customFormat="1" ht="20.25" customHeight="1">
      <c r="A42" s="515" t="s">
        <v>81</v>
      </c>
      <c r="B42" s="2884"/>
      <c r="C42" s="870" t="s">
        <v>993</v>
      </c>
      <c r="D42" s="509" t="s">
        <v>995</v>
      </c>
      <c r="E42" s="517">
        <v>7670</v>
      </c>
      <c r="F42" s="2871"/>
      <c r="G42" s="2873"/>
      <c r="H42" s="2875"/>
      <c r="I42" s="520"/>
      <c r="J42" s="520">
        <f>SUM(E41:E42)</f>
        <v>86085.88</v>
      </c>
      <c r="K42" s="520">
        <f>SUM(H41)</f>
        <v>86085.88</v>
      </c>
    </row>
    <row r="43" spans="1:11" s="512" customFormat="1" ht="20.25" customHeight="1">
      <c r="A43" s="515" t="s">
        <v>82</v>
      </c>
      <c r="B43" s="2884"/>
      <c r="C43" s="1103" t="s">
        <v>996</v>
      </c>
      <c r="D43" s="1104" t="s">
        <v>997</v>
      </c>
      <c r="E43" s="1105">
        <v>1195</v>
      </c>
      <c r="F43" s="870"/>
      <c r="G43" s="509"/>
      <c r="H43" s="517"/>
      <c r="J43" s="520">
        <f>SUM(E37:E42)</f>
        <v>153168.18</v>
      </c>
      <c r="K43" s="520">
        <f>SUM(H37:H43)</f>
        <v>157991.38</v>
      </c>
    </row>
    <row r="44" spans="1:11" s="512" customFormat="1" ht="20.25" customHeight="1">
      <c r="A44" s="515" t="s">
        <v>83</v>
      </c>
      <c r="B44" s="2884"/>
      <c r="C44" s="870" t="s">
        <v>998</v>
      </c>
      <c r="D44" s="509" t="s">
        <v>999</v>
      </c>
      <c r="E44" s="517">
        <v>20725</v>
      </c>
      <c r="F44" s="870" t="s">
        <v>1066</v>
      </c>
      <c r="G44" s="509">
        <v>242</v>
      </c>
      <c r="H44" s="517">
        <v>20725</v>
      </c>
      <c r="I44" s="520"/>
      <c r="J44" s="510"/>
    </row>
    <row r="45" spans="1:11" s="512" customFormat="1" ht="20.25" customHeight="1">
      <c r="A45" s="515" t="s">
        <v>220</v>
      </c>
      <c r="B45" s="2884"/>
      <c r="C45" s="870" t="s">
        <v>1000</v>
      </c>
      <c r="D45" s="509" t="s">
        <v>1001</v>
      </c>
      <c r="E45" s="517">
        <v>12840</v>
      </c>
      <c r="F45" s="870" t="s">
        <v>1069</v>
      </c>
      <c r="G45" s="509">
        <v>276</v>
      </c>
      <c r="H45" s="517">
        <v>3005</v>
      </c>
      <c r="I45" s="520"/>
      <c r="J45" s="520">
        <f>E43+E45</f>
        <v>14035</v>
      </c>
      <c r="K45" s="520"/>
    </row>
    <row r="46" spans="1:11" s="512" customFormat="1" ht="20.25" customHeight="1">
      <c r="A46" s="515" t="s">
        <v>221</v>
      </c>
      <c r="B46" s="2884"/>
      <c r="C46" s="870" t="s">
        <v>1002</v>
      </c>
      <c r="D46" s="509" t="s">
        <v>1003</v>
      </c>
      <c r="E46" s="517">
        <v>4350</v>
      </c>
      <c r="F46" s="870" t="s">
        <v>1068</v>
      </c>
      <c r="G46" s="509">
        <v>336</v>
      </c>
      <c r="H46" s="517">
        <v>13045</v>
      </c>
      <c r="I46" s="520"/>
      <c r="J46" s="520">
        <f>E45+E46</f>
        <v>17190</v>
      </c>
      <c r="K46" s="520">
        <f>H45+H46</f>
        <v>16050</v>
      </c>
    </row>
    <row r="47" spans="1:11" s="512" customFormat="1" ht="20.25" customHeight="1">
      <c r="A47" s="507" t="s">
        <v>219</v>
      </c>
      <c r="B47" s="2884"/>
      <c r="C47" s="870" t="s">
        <v>883</v>
      </c>
      <c r="D47" s="509" t="s">
        <v>1004</v>
      </c>
      <c r="E47" s="517">
        <v>37232</v>
      </c>
      <c r="F47" s="870" t="s">
        <v>1071</v>
      </c>
      <c r="G47" s="509">
        <v>345</v>
      </c>
      <c r="H47" s="517">
        <v>990</v>
      </c>
      <c r="I47" s="520"/>
      <c r="J47" s="520"/>
    </row>
    <row r="48" spans="1:11" s="512" customFormat="1" ht="20.25" customHeight="1">
      <c r="A48" s="507" t="s">
        <v>222</v>
      </c>
      <c r="B48" s="2884"/>
      <c r="C48" s="870" t="s">
        <v>883</v>
      </c>
      <c r="D48" s="509" t="s">
        <v>1005</v>
      </c>
      <c r="E48" s="517">
        <v>7716</v>
      </c>
      <c r="F48" s="870" t="s">
        <v>1070</v>
      </c>
      <c r="G48" s="509">
        <v>394</v>
      </c>
      <c r="H48" s="517">
        <v>42545</v>
      </c>
      <c r="I48" s="520"/>
      <c r="J48" s="520">
        <f>E47+E48</f>
        <v>44948</v>
      </c>
      <c r="K48" s="520">
        <f>H48</f>
        <v>42545</v>
      </c>
    </row>
    <row r="49" spans="1:11" s="512" customFormat="1" ht="19.5" customHeight="1">
      <c r="A49" s="507" t="s">
        <v>308</v>
      </c>
      <c r="B49" s="2885"/>
      <c r="C49" s="870" t="s">
        <v>1006</v>
      </c>
      <c r="D49" s="509" t="s">
        <v>1007</v>
      </c>
      <c r="E49" s="517">
        <v>16914</v>
      </c>
      <c r="F49" s="870" t="s">
        <v>1072</v>
      </c>
      <c r="G49" s="509">
        <v>496</v>
      </c>
      <c r="H49" s="517">
        <v>41582</v>
      </c>
      <c r="I49" s="520"/>
      <c r="J49" s="511"/>
    </row>
    <row r="50" spans="1:11" s="512" customFormat="1" ht="19.5" customHeight="1">
      <c r="A50" s="507" t="s">
        <v>157</v>
      </c>
      <c r="B50" s="2868" t="s">
        <v>1008</v>
      </c>
      <c r="C50" s="870" t="s">
        <v>1006</v>
      </c>
      <c r="D50" s="509" t="s">
        <v>1009</v>
      </c>
      <c r="E50" s="517">
        <v>1213.49</v>
      </c>
      <c r="F50" s="2870" t="s">
        <v>1074</v>
      </c>
      <c r="G50" s="2872">
        <v>520</v>
      </c>
      <c r="H50" s="2874">
        <v>2815</v>
      </c>
      <c r="I50" s="520"/>
      <c r="J50" s="520">
        <f>E50+E51</f>
        <v>2333.0500000000002</v>
      </c>
      <c r="K50" s="520">
        <f>H50</f>
        <v>2815</v>
      </c>
    </row>
    <row r="51" spans="1:11" s="512" customFormat="1" ht="19.5" customHeight="1">
      <c r="A51" s="507" t="s">
        <v>224</v>
      </c>
      <c r="B51" s="2869"/>
      <c r="C51" s="870" t="s">
        <v>1006</v>
      </c>
      <c r="D51" s="509" t="s">
        <v>1009</v>
      </c>
      <c r="E51" s="517">
        <v>1119.56</v>
      </c>
      <c r="F51" s="2871"/>
      <c r="G51" s="2873"/>
      <c r="H51" s="2875"/>
      <c r="I51" s="520"/>
      <c r="J51" s="511"/>
    </row>
    <row r="52" spans="1:11" s="512" customFormat="1" ht="19.5" customHeight="1">
      <c r="A52" s="507" t="s">
        <v>1015</v>
      </c>
      <c r="B52" s="2868" t="s">
        <v>984</v>
      </c>
      <c r="C52" s="870" t="s">
        <v>891</v>
      </c>
      <c r="D52" s="509" t="s">
        <v>1010</v>
      </c>
      <c r="E52" s="517">
        <v>9400</v>
      </c>
      <c r="F52" s="870" t="s">
        <v>1073</v>
      </c>
      <c r="G52" s="509">
        <v>534</v>
      </c>
      <c r="H52" s="517">
        <v>15924</v>
      </c>
      <c r="I52" s="520"/>
      <c r="J52" s="511"/>
    </row>
    <row r="53" spans="1:11" s="512" customFormat="1" ht="19.5" customHeight="1">
      <c r="A53" s="507" t="s">
        <v>1016</v>
      </c>
      <c r="B53" s="2876"/>
      <c r="C53" s="870" t="s">
        <v>1011</v>
      </c>
      <c r="D53" s="509" t="s">
        <v>1012</v>
      </c>
      <c r="E53" s="517">
        <v>3485</v>
      </c>
      <c r="F53" s="870" t="s">
        <v>1075</v>
      </c>
      <c r="G53" s="509">
        <v>544</v>
      </c>
      <c r="H53" s="517">
        <v>990</v>
      </c>
      <c r="I53" s="520"/>
      <c r="J53" s="511"/>
    </row>
    <row r="54" spans="1:11" s="512" customFormat="1" ht="19.5" customHeight="1">
      <c r="A54" s="507" t="s">
        <v>1017</v>
      </c>
      <c r="B54" s="2876"/>
      <c r="C54" s="870" t="s">
        <v>1011</v>
      </c>
      <c r="D54" s="509" t="s">
        <v>1012</v>
      </c>
      <c r="E54" s="517">
        <v>4550</v>
      </c>
      <c r="F54" s="870" t="s">
        <v>1076</v>
      </c>
      <c r="G54" s="509">
        <v>722</v>
      </c>
      <c r="H54" s="517">
        <v>5626</v>
      </c>
      <c r="I54" s="520"/>
    </row>
    <row r="55" spans="1:11" s="512" customFormat="1" ht="19.5" customHeight="1">
      <c r="A55" s="507" t="s">
        <v>1018</v>
      </c>
      <c r="B55" s="2869"/>
      <c r="C55" s="870" t="s">
        <v>1013</v>
      </c>
      <c r="D55" s="509" t="s">
        <v>1014</v>
      </c>
      <c r="E55" s="517">
        <v>7735</v>
      </c>
      <c r="F55" s="870" t="s">
        <v>911</v>
      </c>
      <c r="G55" s="509">
        <v>860</v>
      </c>
      <c r="H55" s="517">
        <v>38620</v>
      </c>
      <c r="I55" s="520"/>
      <c r="J55" s="520">
        <f>SUM(E52:E55)</f>
        <v>25170</v>
      </c>
      <c r="K55" s="520">
        <f>SUM(H52:H55)</f>
        <v>61160</v>
      </c>
    </row>
    <row r="56" spans="1:11" s="512" customFormat="1" ht="19.5" customHeight="1">
      <c r="A56" s="507" t="s">
        <v>1019</v>
      </c>
      <c r="B56" s="871" t="s">
        <v>1008</v>
      </c>
      <c r="C56" s="870" t="s">
        <v>1026</v>
      </c>
      <c r="D56" s="509" t="s">
        <v>1027</v>
      </c>
      <c r="E56" s="517">
        <v>35413.81</v>
      </c>
      <c r="F56" s="870" t="s">
        <v>1077</v>
      </c>
      <c r="G56" s="509">
        <v>803</v>
      </c>
      <c r="H56" s="517">
        <v>35414</v>
      </c>
      <c r="I56" s="520"/>
      <c r="J56" s="511"/>
    </row>
    <row r="57" spans="1:11" s="512" customFormat="1" ht="19.5" customHeight="1">
      <c r="A57" s="507" t="s">
        <v>1020</v>
      </c>
      <c r="B57" s="871" t="s">
        <v>984</v>
      </c>
      <c r="C57" s="1103" t="s">
        <v>1028</v>
      </c>
      <c r="D57" s="1104" t="s">
        <v>1029</v>
      </c>
      <c r="E57" s="1105">
        <v>24225</v>
      </c>
      <c r="F57" s="870" t="s">
        <v>1078</v>
      </c>
      <c r="G57" s="509">
        <v>929</v>
      </c>
      <c r="H57" s="517">
        <v>24225</v>
      </c>
      <c r="I57" s="520"/>
      <c r="J57" s="511"/>
    </row>
    <row r="58" spans="1:11" s="512" customFormat="1" ht="19.5" customHeight="1">
      <c r="A58" s="507" t="s">
        <v>1021</v>
      </c>
      <c r="B58" s="871"/>
      <c r="C58" s="870" t="s">
        <v>1032</v>
      </c>
      <c r="D58" s="509" t="s">
        <v>1033</v>
      </c>
      <c r="E58" s="517">
        <v>47687</v>
      </c>
      <c r="F58" s="870" t="s">
        <v>1079</v>
      </c>
      <c r="G58" s="509">
        <v>947</v>
      </c>
      <c r="H58" s="517">
        <v>47687</v>
      </c>
      <c r="I58" s="520"/>
      <c r="J58" s="511"/>
    </row>
    <row r="59" spans="1:11" s="512" customFormat="1" ht="19.5" customHeight="1">
      <c r="A59" s="507" t="s">
        <v>1022</v>
      </c>
      <c r="B59" s="871"/>
      <c r="C59" s="870" t="s">
        <v>1030</v>
      </c>
      <c r="D59" s="509" t="s">
        <v>1031</v>
      </c>
      <c r="E59" s="517">
        <v>5740</v>
      </c>
      <c r="F59" s="870" t="s">
        <v>1080</v>
      </c>
      <c r="G59" s="509">
        <v>994</v>
      </c>
      <c r="H59" s="517">
        <v>13340</v>
      </c>
      <c r="I59" s="520"/>
      <c r="J59" s="511"/>
    </row>
    <row r="60" spans="1:11" s="512" customFormat="1" ht="19.5" customHeight="1">
      <c r="A60" s="507" t="s">
        <v>1023</v>
      </c>
      <c r="B60" s="871"/>
      <c r="C60" s="870" t="s">
        <v>1036</v>
      </c>
      <c r="D60" s="509" t="s">
        <v>1034</v>
      </c>
      <c r="E60" s="517">
        <v>5500</v>
      </c>
      <c r="F60" s="870"/>
      <c r="G60" s="509"/>
      <c r="H60" s="517"/>
      <c r="I60" s="520"/>
      <c r="J60" s="520">
        <f>SUM(E59:E60)</f>
        <v>11240</v>
      </c>
    </row>
    <row r="61" spans="1:11" s="512" customFormat="1" ht="19.5" customHeight="1">
      <c r="A61" s="507" t="s">
        <v>1024</v>
      </c>
      <c r="B61" s="871"/>
      <c r="C61" s="870" t="s">
        <v>1035</v>
      </c>
      <c r="D61" s="509" t="s">
        <v>1037</v>
      </c>
      <c r="E61" s="517">
        <v>7600</v>
      </c>
      <c r="F61" s="870"/>
      <c r="G61" s="509"/>
      <c r="H61" s="517"/>
      <c r="I61" s="520"/>
      <c r="J61" s="511"/>
    </row>
    <row r="62" spans="1:11" s="512" customFormat="1" ht="19.5" customHeight="1">
      <c r="A62" s="507" t="s">
        <v>1025</v>
      </c>
      <c r="B62" s="871"/>
      <c r="C62" s="870" t="s">
        <v>1035</v>
      </c>
      <c r="D62" s="509" t="s">
        <v>1038</v>
      </c>
      <c r="E62" s="517">
        <v>3250</v>
      </c>
      <c r="F62" s="870" t="s">
        <v>1081</v>
      </c>
      <c r="G62" s="509">
        <v>1026</v>
      </c>
      <c r="H62" s="517">
        <v>3250</v>
      </c>
      <c r="I62" s="520"/>
      <c r="J62" s="511"/>
    </row>
    <row r="63" spans="1:11" s="512" customFormat="1" ht="21" customHeight="1">
      <c r="A63" s="507" t="s">
        <v>1041</v>
      </c>
      <c r="B63" s="871"/>
      <c r="C63" s="870" t="s">
        <v>1039</v>
      </c>
      <c r="D63" s="509" t="s">
        <v>1042</v>
      </c>
      <c r="E63" s="517">
        <v>21291</v>
      </c>
      <c r="F63" s="870"/>
      <c r="G63" s="509"/>
      <c r="H63" s="517"/>
      <c r="I63" s="520"/>
      <c r="J63" s="511"/>
    </row>
    <row r="64" spans="1:11" s="512" customFormat="1" ht="19.5" hidden="1" customHeight="1">
      <c r="A64" s="507"/>
      <c r="B64" s="496"/>
      <c r="C64" s="870"/>
      <c r="D64" s="509"/>
      <c r="E64" s="517"/>
      <c r="F64" s="870"/>
      <c r="G64" s="509"/>
      <c r="H64" s="517"/>
      <c r="I64" s="520"/>
      <c r="J64" s="511"/>
    </row>
    <row r="65" spans="1:20" s="512" customFormat="1" ht="19.5" hidden="1" customHeight="1">
      <c r="A65" s="507"/>
      <c r="B65" s="496"/>
      <c r="C65" s="870"/>
      <c r="D65" s="509"/>
      <c r="E65" s="517"/>
      <c r="F65" s="870"/>
      <c r="G65" s="509"/>
      <c r="H65" s="517"/>
      <c r="I65" s="520"/>
      <c r="J65" s="511"/>
    </row>
    <row r="66" spans="1:20" s="512" customFormat="1" ht="19.5" hidden="1" customHeight="1">
      <c r="A66" s="507"/>
      <c r="B66" s="496"/>
      <c r="C66" s="870"/>
      <c r="D66" s="509"/>
      <c r="E66" s="517"/>
      <c r="F66" s="870"/>
      <c r="G66" s="509"/>
      <c r="H66" s="517"/>
      <c r="I66" s="520"/>
      <c r="J66" s="511"/>
    </row>
    <row r="67" spans="1:20" s="512" customFormat="1" ht="19.5" hidden="1" customHeight="1">
      <c r="A67" s="507"/>
      <c r="B67" s="496"/>
      <c r="C67" s="870"/>
      <c r="D67" s="509"/>
      <c r="E67" s="517"/>
      <c r="F67" s="870"/>
      <c r="G67" s="509"/>
      <c r="H67" s="517"/>
      <c r="I67" s="520"/>
      <c r="J67" s="511"/>
    </row>
    <row r="68" spans="1:20" s="512" customFormat="1" ht="19.5" hidden="1" customHeight="1">
      <c r="A68" s="507"/>
      <c r="B68" s="496"/>
      <c r="C68" s="870"/>
      <c r="D68" s="509"/>
      <c r="E68" s="517"/>
      <c r="F68" s="870"/>
      <c r="G68" s="509"/>
      <c r="H68" s="517"/>
      <c r="I68" s="520"/>
      <c r="J68" s="511"/>
    </row>
    <row r="69" spans="1:20" s="512" customFormat="1" ht="19.5" hidden="1" customHeight="1">
      <c r="A69" s="507"/>
      <c r="B69" s="496"/>
      <c r="C69" s="870"/>
      <c r="D69" s="509"/>
      <c r="E69" s="517"/>
      <c r="F69" s="870"/>
      <c r="G69" s="509"/>
      <c r="H69" s="517"/>
      <c r="I69" s="520"/>
      <c r="J69" s="511"/>
    </row>
    <row r="70" spans="1:20" s="512" customFormat="1" ht="19.5" hidden="1" customHeight="1">
      <c r="A70" s="507"/>
      <c r="B70" s="496"/>
      <c r="C70" s="870"/>
      <c r="D70" s="509"/>
      <c r="E70" s="517"/>
      <c r="F70" s="870"/>
      <c r="G70" s="509"/>
      <c r="H70" s="517"/>
      <c r="I70" s="520"/>
      <c r="J70" s="511"/>
    </row>
    <row r="71" spans="1:20" s="512" customFormat="1" ht="19.5" hidden="1" customHeight="1">
      <c r="A71" s="507"/>
      <c r="B71" s="496"/>
      <c r="C71" s="870"/>
      <c r="D71" s="509"/>
      <c r="E71" s="517"/>
      <c r="F71" s="870"/>
      <c r="G71" s="509"/>
      <c r="H71" s="517"/>
      <c r="I71" s="520"/>
      <c r="J71" s="511"/>
    </row>
    <row r="72" spans="1:20" s="512" customFormat="1" ht="19.5" hidden="1" customHeight="1">
      <c r="A72" s="507"/>
      <c r="B72" s="496"/>
      <c r="C72" s="870"/>
      <c r="D72" s="509"/>
      <c r="E72" s="517"/>
      <c r="F72" s="870"/>
      <c r="G72" s="509"/>
      <c r="H72" s="517"/>
      <c r="I72" s="520"/>
      <c r="J72" s="511"/>
    </row>
    <row r="73" spans="1:20" s="512" customFormat="1" ht="19.5" hidden="1" customHeight="1">
      <c r="A73" s="507"/>
      <c r="B73" s="496"/>
      <c r="C73" s="870"/>
      <c r="D73" s="509"/>
      <c r="E73" s="517"/>
      <c r="F73" s="870"/>
      <c r="G73" s="509"/>
      <c r="H73" s="517"/>
      <c r="I73" s="520"/>
      <c r="J73" s="511"/>
    </row>
    <row r="74" spans="1:20" s="512" customFormat="1" ht="19.5" hidden="1" customHeight="1">
      <c r="A74" s="507"/>
      <c r="B74" s="496"/>
      <c r="C74" s="870"/>
      <c r="D74" s="509"/>
      <c r="E74" s="517"/>
      <c r="F74" s="870"/>
      <c r="G74" s="509"/>
      <c r="H74" s="517"/>
      <c r="I74" s="520"/>
      <c r="J74" s="511"/>
    </row>
    <row r="75" spans="1:20" s="512" customFormat="1" ht="19.5" hidden="1" customHeight="1">
      <c r="A75" s="507"/>
      <c r="B75" s="496"/>
      <c r="C75" s="870"/>
      <c r="D75" s="509"/>
      <c r="E75" s="517"/>
      <c r="F75" s="870"/>
      <c r="G75" s="509"/>
      <c r="H75" s="517"/>
      <c r="I75" s="520"/>
      <c r="J75" s="511"/>
    </row>
    <row r="76" spans="1:20">
      <c r="A76" s="514" t="s">
        <v>158</v>
      </c>
      <c r="B76" s="516"/>
      <c r="C76" s="508"/>
      <c r="D76" s="513"/>
      <c r="E76" s="519">
        <f>SUM(E37:E75)</f>
        <v>432350.04</v>
      </c>
      <c r="F76" s="521"/>
      <c r="G76" s="521"/>
      <c r="H76" s="519">
        <f>SUM(H37:H75)</f>
        <v>467774.38</v>
      </c>
      <c r="I76" s="506"/>
      <c r="J76" s="47"/>
    </row>
    <row r="77" spans="1:20" ht="36" customHeight="1">
      <c r="A77" s="1107" t="s">
        <v>1044</v>
      </c>
      <c r="B77" s="522"/>
      <c r="C77" s="523"/>
      <c r="D77" s="524"/>
      <c r="E77" s="525"/>
      <c r="F77" s="42"/>
      <c r="G77" s="42"/>
      <c r="H77" s="525"/>
      <c r="I77" s="506"/>
      <c r="J77" s="47"/>
    </row>
    <row r="78" spans="1:20" s="94" customFormat="1">
      <c r="A78" s="443" t="s">
        <v>1407</v>
      </c>
      <c r="J78" s="873">
        <f>H27/1.18/9*12/1000</f>
        <v>538.43256497175139</v>
      </c>
    </row>
    <row r="79" spans="1:20">
      <c r="A79" s="42" t="s">
        <v>1409</v>
      </c>
      <c r="B79" s="42"/>
      <c r="C79" s="42"/>
      <c r="D79" s="22"/>
      <c r="E79" s="749"/>
      <c r="F79" s="749"/>
      <c r="G79" s="749"/>
      <c r="H79" s="749"/>
      <c r="I79" s="749"/>
      <c r="J79" s="750"/>
      <c r="K79" s="749"/>
      <c r="L79" s="749"/>
      <c r="M79" s="749"/>
      <c r="N79" s="749"/>
      <c r="S79" s="79"/>
      <c r="T79" s="527"/>
    </row>
    <row r="80" spans="1:20">
      <c r="A80" s="42"/>
      <c r="B80" s="1109" t="s">
        <v>1045</v>
      </c>
      <c r="D80" s="237" t="s">
        <v>873</v>
      </c>
      <c r="E80" s="817" t="s">
        <v>760</v>
      </c>
      <c r="F80" s="42"/>
      <c r="G80" s="42"/>
      <c r="H80" s="22"/>
      <c r="I80" s="17"/>
      <c r="J80" s="750"/>
      <c r="K80" s="749"/>
      <c r="L80" s="22"/>
      <c r="M80" s="749"/>
      <c r="N80" s="749"/>
      <c r="P80" s="79"/>
      <c r="S80" s="80"/>
      <c r="T80" s="527"/>
    </row>
    <row r="81" spans="1:20">
      <c r="C81" s="52" t="s">
        <v>1406</v>
      </c>
      <c r="D81" s="17">
        <v>404.79700000000003</v>
      </c>
      <c r="E81" s="875">
        <f>D81/$D$86*100</f>
        <v>17.307915137568589</v>
      </c>
      <c r="F81" s="52"/>
      <c r="I81" s="17"/>
      <c r="J81" s="193">
        <f>'П1.30 - 07.06.11г.'!C76</f>
        <v>6486.5829999999987</v>
      </c>
      <c r="K81" s="6"/>
      <c r="L81" s="6"/>
      <c r="M81" s="6"/>
      <c r="N81" s="6"/>
      <c r="S81" s="815" t="e">
        <f>D84/$D$25*100</f>
        <v>#DIV/0!</v>
      </c>
      <c r="T81" s="527"/>
    </row>
    <row r="82" spans="1:20" hidden="1">
      <c r="B82" s="55"/>
      <c r="C82" s="55" t="s">
        <v>1048</v>
      </c>
      <c r="D82" s="55"/>
      <c r="F82" s="52"/>
      <c r="I82" s="17"/>
      <c r="J82" s="193"/>
      <c r="K82" s="6"/>
      <c r="L82" s="6"/>
      <c r="M82" s="6"/>
      <c r="N82" s="6"/>
      <c r="S82" s="815"/>
      <c r="T82" s="527"/>
    </row>
    <row r="83" spans="1:20" hidden="1">
      <c r="B83" s="55"/>
      <c r="C83" s="547" t="s">
        <v>1046</v>
      </c>
      <c r="D83" s="55">
        <f>'П1.30 - 07.06.11г.'!$C$28</f>
        <v>531.55799999999999</v>
      </c>
      <c r="F83" s="52"/>
      <c r="I83" s="17"/>
      <c r="J83" s="193"/>
      <c r="K83" s="6"/>
      <c r="L83" s="6"/>
      <c r="M83" s="6"/>
      <c r="N83" s="6"/>
      <c r="S83" s="815"/>
      <c r="T83" s="527"/>
    </row>
    <row r="84" spans="1:20" hidden="1">
      <c r="B84" s="547"/>
      <c r="C84" s="547" t="s">
        <v>1049</v>
      </c>
      <c r="D84" s="816">
        <f>16.5+40</f>
        <v>56.5</v>
      </c>
      <c r="F84" s="52"/>
      <c r="I84" s="17"/>
      <c r="J84" s="193"/>
      <c r="K84" s="6"/>
      <c r="L84" s="6"/>
      <c r="M84" s="6"/>
      <c r="N84" s="6"/>
      <c r="S84" s="815"/>
      <c r="T84" s="527"/>
    </row>
    <row r="85" spans="1:20">
      <c r="B85" s="52" t="s">
        <v>875</v>
      </c>
      <c r="D85" s="608">
        <f>'[10]стр-ра пол.отп. 2014г.'!$D$23+'[10]стр-ра пол.отп. 2014г.'!$E$23+'[10]стр-ра пол.отп. 2014г.'!$F$23</f>
        <v>1934</v>
      </c>
      <c r="E85" s="875">
        <f>D85/$D$86*100</f>
        <v>82.692084862431415</v>
      </c>
      <c r="I85" s="17">
        <f>825+807</f>
        <v>1632</v>
      </c>
      <c r="J85" s="193">
        <f>'2012 Баланс  '!C69</f>
        <v>0</v>
      </c>
      <c r="K85" s="6"/>
      <c r="L85" s="6"/>
      <c r="M85" s="6"/>
      <c r="N85" s="6"/>
      <c r="S85" s="815" t="e">
        <f>D85/$D$25*100</f>
        <v>#DIV/0!</v>
      </c>
      <c r="T85" s="527"/>
    </row>
    <row r="86" spans="1:20">
      <c r="B86" s="52" t="s">
        <v>158</v>
      </c>
      <c r="D86" s="608">
        <f>D81+D85</f>
        <v>2338.797</v>
      </c>
      <c r="E86" s="876">
        <f>SUM(E81:E85)</f>
        <v>100</v>
      </c>
      <c r="I86" s="17"/>
      <c r="J86" s="193">
        <f>SUM(J81:J85)</f>
        <v>6486.5829999999987</v>
      </c>
      <c r="K86" s="6"/>
      <c r="L86" s="6"/>
      <c r="M86" s="6"/>
      <c r="N86" s="6"/>
      <c r="S86" s="815" t="e">
        <f>D86/$D$25*100</f>
        <v>#DIV/0!</v>
      </c>
      <c r="T86" s="527"/>
    </row>
    <row r="87" spans="1:20" s="94" customFormat="1">
      <c r="A87" s="443" t="s">
        <v>1408</v>
      </c>
      <c r="J87" s="873">
        <f>H28/1.18/9*12/1000</f>
        <v>0</v>
      </c>
    </row>
    <row r="88" spans="1:20" s="94" customFormat="1">
      <c r="A88" s="94" t="s">
        <v>1051</v>
      </c>
      <c r="E88" s="872" t="s">
        <v>1410</v>
      </c>
      <c r="F88" s="752">
        <f>$E$76/1000/1.18*1.071*$E$81/100</f>
        <v>67.918443440589286</v>
      </c>
      <c r="G88" s="108" t="s">
        <v>868</v>
      </c>
      <c r="J88" s="873"/>
    </row>
    <row r="89" spans="1:20" s="94" customFormat="1">
      <c r="A89" s="94" t="s">
        <v>1440</v>
      </c>
      <c r="I89" s="167"/>
    </row>
    <row r="90" spans="1:20" s="94" customFormat="1">
      <c r="D90" s="872" t="s">
        <v>1441</v>
      </c>
      <c r="E90" s="752">
        <f>$F$88*1.054</f>
        <v>71.586039386381117</v>
      </c>
      <c r="F90" s="108" t="s">
        <v>1057</v>
      </c>
      <c r="I90" s="167"/>
    </row>
    <row r="91" spans="1:20" s="94" customFormat="1">
      <c r="C91" s="874"/>
      <c r="I91" s="167"/>
    </row>
    <row r="92" spans="1:20" s="94" customFormat="1">
      <c r="A92" s="108" t="s">
        <v>1055</v>
      </c>
      <c r="I92" s="167"/>
    </row>
    <row r="93" spans="1:20">
      <c r="A93" s="17" t="s">
        <v>1056</v>
      </c>
    </row>
    <row r="94" spans="1:20">
      <c r="B94" s="1112"/>
      <c r="C94" s="1112"/>
      <c r="D94" s="1133" t="s">
        <v>1411</v>
      </c>
      <c r="E94" s="1114">
        <f>D30+F88</f>
        <v>500.41440125414863</v>
      </c>
      <c r="F94" s="1115" t="s">
        <v>84</v>
      </c>
    </row>
    <row r="95" spans="1:20">
      <c r="B95" s="1112"/>
      <c r="C95" s="1112"/>
      <c r="D95" s="1133" t="s">
        <v>1412</v>
      </c>
      <c r="E95" s="1114">
        <f>C32+E90</f>
        <v>527.4367789218727</v>
      </c>
      <c r="F95" s="1115" t="s">
        <v>84</v>
      </c>
    </row>
    <row r="97" spans="1:1" ht="13.5" customHeight="1"/>
    <row r="98" spans="1:1">
      <c r="A98" s="51" t="s">
        <v>227</v>
      </c>
    </row>
    <row r="99" spans="1:1">
      <c r="A99" s="51" t="s">
        <v>236</v>
      </c>
    </row>
  </sheetData>
  <mergeCells count="14">
    <mergeCell ref="B52:B55"/>
    <mergeCell ref="F41:F42"/>
    <mergeCell ref="G41:G42"/>
    <mergeCell ref="H41:H42"/>
    <mergeCell ref="B50:B51"/>
    <mergeCell ref="F50:F51"/>
    <mergeCell ref="G50:G51"/>
    <mergeCell ref="H50:H51"/>
    <mergeCell ref="B37:B49"/>
    <mergeCell ref="B7:B11"/>
    <mergeCell ref="B12:B14"/>
    <mergeCell ref="F12:F14"/>
    <mergeCell ref="G12:G14"/>
    <mergeCell ref="H12:H14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portrait" r:id="rId1"/>
  <headerFooter alignWithMargins="0">
    <oddFooter>&amp;R&amp;P</oddFooter>
  </headerFooter>
  <rowBreaks count="1" manualBreakCount="1">
    <brk id="33" max="16383" man="1"/>
  </rowBreaks>
  <colBreaks count="1" manualBreakCount="1">
    <brk id="8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7030A0"/>
  </sheetPr>
  <dimension ref="A1:M43"/>
  <sheetViews>
    <sheetView topLeftCell="A20" zoomScaleNormal="100" workbookViewId="0">
      <selection activeCell="A18" sqref="A18:F20"/>
    </sheetView>
  </sheetViews>
  <sheetFormatPr defaultColWidth="9.109375" defaultRowHeight="15"/>
  <cols>
    <col min="1" max="1" width="4.5546875" style="1825" customWidth="1"/>
    <col min="2" max="2" width="80.33203125" style="1825" customWidth="1"/>
    <col min="3" max="3" width="24.109375" style="1825" customWidth="1"/>
    <col min="4" max="4" width="50.44140625" style="1825" customWidth="1"/>
    <col min="5" max="5" width="15.6640625" style="1825" hidden="1" customWidth="1"/>
    <col min="6" max="7" width="19.5546875" style="1825" customWidth="1"/>
    <col min="8" max="16384" width="9.109375" style="1825"/>
  </cols>
  <sheetData>
    <row r="1" spans="1:13">
      <c r="A1" s="1849" t="s">
        <v>1847</v>
      </c>
      <c r="B1" s="1849"/>
      <c r="C1" s="1849"/>
      <c r="D1" s="1849"/>
      <c r="E1" s="1849"/>
      <c r="F1" s="1849"/>
      <c r="L1" s="1825" t="s">
        <v>2013</v>
      </c>
    </row>
    <row r="2" spans="1:13" ht="25.5" customHeight="1">
      <c r="A2" s="1849" t="s">
        <v>2026</v>
      </c>
      <c r="B2" s="1849"/>
      <c r="C2" s="1849"/>
      <c r="D2" s="1849"/>
      <c r="E2" s="1849"/>
      <c r="F2" s="1849"/>
    </row>
    <row r="3" spans="1:13" ht="11.25" customHeight="1">
      <c r="A3" s="1849"/>
      <c r="B3" s="1849"/>
      <c r="C3" s="1849"/>
      <c r="D3" s="1849"/>
      <c r="E3" s="1849"/>
      <c r="F3" s="1849"/>
    </row>
    <row r="4" spans="1:13">
      <c r="A4" s="1826"/>
      <c r="B4" s="1826"/>
      <c r="C4" s="1826"/>
      <c r="D4" s="1826"/>
      <c r="E4" s="1826"/>
      <c r="F4" s="2155" t="s">
        <v>84</v>
      </c>
    </row>
    <row r="5" spans="1:13" s="1717" customFormat="1" ht="31.5" customHeight="1">
      <c r="A5" s="1850" t="s">
        <v>229</v>
      </c>
      <c r="B5" s="1851" t="s">
        <v>645</v>
      </c>
      <c r="C5" s="1851" t="s">
        <v>227</v>
      </c>
      <c r="D5" s="1851" t="s">
        <v>228</v>
      </c>
      <c r="E5" s="1852" t="s">
        <v>1252</v>
      </c>
      <c r="F5" s="1900" t="s">
        <v>2025</v>
      </c>
      <c r="G5" s="1900" t="s">
        <v>2043</v>
      </c>
      <c r="H5" s="1836"/>
      <c r="I5" s="1837"/>
      <c r="J5" s="1838"/>
      <c r="K5" s="1838"/>
      <c r="L5" s="1834"/>
      <c r="M5" s="1834"/>
    </row>
    <row r="6" spans="1:13" s="1717" customFormat="1" ht="13.8">
      <c r="A6" s="1854" t="s">
        <v>1617</v>
      </c>
      <c r="B6" s="1855"/>
      <c r="C6" s="1855"/>
      <c r="D6" s="1856"/>
      <c r="E6" s="1856"/>
      <c r="F6" s="1856"/>
      <c r="G6" s="1856"/>
      <c r="H6" s="1836"/>
      <c r="I6" s="1837"/>
      <c r="J6" s="1838"/>
      <c r="K6" s="1838"/>
      <c r="L6" s="1834"/>
      <c r="M6" s="1834"/>
    </row>
    <row r="7" spans="1:13" s="1919" customFormat="1" ht="39.6">
      <c r="A7" s="2679">
        <v>1</v>
      </c>
      <c r="B7" s="2680" t="s">
        <v>2008</v>
      </c>
      <c r="C7" s="2681" t="s">
        <v>2009</v>
      </c>
      <c r="D7" s="2682" t="s">
        <v>2010</v>
      </c>
      <c r="E7" s="2683"/>
      <c r="F7" s="2683">
        <v>67.989180000000005</v>
      </c>
      <c r="G7" s="2683" t="e">
        <f>F7*$C$37</f>
        <v>#REF!</v>
      </c>
      <c r="K7" s="1920"/>
    </row>
    <row r="8" spans="1:13" s="1919" customFormat="1" ht="52.5" customHeight="1">
      <c r="A8" s="2679">
        <f>A7+1</f>
        <v>2</v>
      </c>
      <c r="B8" s="2680" t="s">
        <v>2011</v>
      </c>
      <c r="C8" s="2684" t="s">
        <v>2012</v>
      </c>
      <c r="D8" s="2682" t="s">
        <v>2014</v>
      </c>
      <c r="E8" s="2683"/>
      <c r="F8" s="2683">
        <f>230.72534/1.18</f>
        <v>195.52994915254237</v>
      </c>
      <c r="G8" s="2683" t="e">
        <f t="shared" ref="G8:G27" si="0">F8*$C$37</f>
        <v>#REF!</v>
      </c>
      <c r="K8" s="1920"/>
    </row>
    <row r="9" spans="1:13" s="1919" customFormat="1" ht="52.8">
      <c r="A9" s="2679">
        <f>A8+1</f>
        <v>3</v>
      </c>
      <c r="B9" s="2680" t="s">
        <v>2020</v>
      </c>
      <c r="C9" s="2681" t="s">
        <v>2009</v>
      </c>
      <c r="D9" s="2682" t="s">
        <v>2021</v>
      </c>
      <c r="E9" s="2683"/>
      <c r="F9" s="2683">
        <f>609.63892</f>
        <v>609.63891999999998</v>
      </c>
      <c r="G9" s="2683" t="e">
        <f t="shared" si="0"/>
        <v>#REF!</v>
      </c>
      <c r="K9" s="1920"/>
    </row>
    <row r="10" spans="1:13" s="1919" customFormat="1" ht="66">
      <c r="A10" s="2679">
        <f>A9+1</f>
        <v>4</v>
      </c>
      <c r="B10" s="2680" t="s">
        <v>2035</v>
      </c>
      <c r="C10" s="2681" t="s">
        <v>2009</v>
      </c>
      <c r="D10" s="2682" t="s">
        <v>2041</v>
      </c>
      <c r="E10" s="2683"/>
      <c r="F10" s="2683">
        <v>68.528480000000002</v>
      </c>
      <c r="G10" s="2683" t="e">
        <f t="shared" si="0"/>
        <v>#REF!</v>
      </c>
      <c r="K10" s="1920"/>
    </row>
    <row r="11" spans="1:13" s="1919" customFormat="1" ht="66">
      <c r="A11" s="2679">
        <v>5</v>
      </c>
      <c r="B11" s="2680" t="s">
        <v>2040</v>
      </c>
      <c r="C11" s="2681" t="s">
        <v>2009</v>
      </c>
      <c r="D11" s="2682" t="s">
        <v>2042</v>
      </c>
      <c r="E11" s="2683"/>
      <c r="F11" s="2683">
        <f>64.07755/1.18</f>
        <v>54.303008474576274</v>
      </c>
      <c r="G11" s="2683" t="e">
        <f t="shared" si="0"/>
        <v>#REF!</v>
      </c>
      <c r="K11" s="1920"/>
    </row>
    <row r="12" spans="1:13" s="1919" customFormat="1" ht="26.4">
      <c r="A12" s="2679">
        <v>6</v>
      </c>
      <c r="B12" s="2680" t="s">
        <v>2022</v>
      </c>
      <c r="C12" s="2681" t="s">
        <v>2023</v>
      </c>
      <c r="D12" s="2682" t="s">
        <v>2024</v>
      </c>
      <c r="E12" s="2683"/>
      <c r="F12" s="2683">
        <f>160/1.18</f>
        <v>135.59322033898306</v>
      </c>
      <c r="G12" s="2683" t="e">
        <f t="shared" si="0"/>
        <v>#REF!</v>
      </c>
      <c r="K12" s="1920"/>
    </row>
    <row r="13" spans="1:13" s="1919" customFormat="1" ht="39.6">
      <c r="A13" s="2679">
        <v>7</v>
      </c>
      <c r="B13" s="2680" t="s">
        <v>2027</v>
      </c>
      <c r="C13" s="2681" t="s">
        <v>1623</v>
      </c>
      <c r="D13" s="2682" t="s">
        <v>2028</v>
      </c>
      <c r="E13" s="2683"/>
      <c r="F13" s="2683">
        <f>148.4</f>
        <v>148.4</v>
      </c>
      <c r="G13" s="2683" t="e">
        <f t="shared" si="0"/>
        <v>#REF!</v>
      </c>
      <c r="K13" s="1920"/>
    </row>
    <row r="14" spans="1:13" s="1919" customFormat="1" ht="42" customHeight="1">
      <c r="A14" s="2679">
        <v>8</v>
      </c>
      <c r="B14" s="2680" t="s">
        <v>2029</v>
      </c>
      <c r="C14" s="2681" t="s">
        <v>2030</v>
      </c>
      <c r="D14" s="2682" t="s">
        <v>2031</v>
      </c>
      <c r="E14" s="2683"/>
      <c r="F14" s="2683">
        <f>19.028</f>
        <v>19.027999999999999</v>
      </c>
      <c r="G14" s="2683" t="e">
        <f t="shared" si="0"/>
        <v>#REF!</v>
      </c>
      <c r="K14" s="1920"/>
    </row>
    <row r="15" spans="1:13" s="1919" customFormat="1" ht="25.5" customHeight="1">
      <c r="A15" s="2679">
        <v>9</v>
      </c>
      <c r="B15" s="2680" t="s">
        <v>2032</v>
      </c>
      <c r="C15" s="2681" t="s">
        <v>2033</v>
      </c>
      <c r="D15" s="2682" t="s">
        <v>2034</v>
      </c>
      <c r="E15" s="2683"/>
      <c r="F15" s="2683">
        <f>1840.8/1.18</f>
        <v>1560</v>
      </c>
      <c r="G15" s="2683" t="e">
        <f t="shared" si="0"/>
        <v>#REF!</v>
      </c>
      <c r="K15" s="1920"/>
    </row>
    <row r="16" spans="1:13" s="1919" customFormat="1" ht="26.4">
      <c r="A16" s="2679">
        <v>10</v>
      </c>
      <c r="B16" s="2680" t="s">
        <v>2038</v>
      </c>
      <c r="C16" s="2681" t="s">
        <v>1632</v>
      </c>
      <c r="D16" s="2682" t="s">
        <v>2039</v>
      </c>
      <c r="E16" s="2683"/>
      <c r="F16" s="2683">
        <f>167.76894</f>
        <v>167.76893999999999</v>
      </c>
      <c r="G16" s="2683" t="e">
        <f t="shared" si="0"/>
        <v>#REF!</v>
      </c>
      <c r="K16" s="1920"/>
    </row>
    <row r="17" spans="1:13" s="1717" customFormat="1" ht="13.8">
      <c r="A17" s="1854" t="s">
        <v>1626</v>
      </c>
      <c r="B17" s="1855"/>
      <c r="C17" s="1855"/>
      <c r="D17" s="1856"/>
      <c r="E17" s="1856"/>
      <c r="F17" s="1856"/>
      <c r="G17" s="1856"/>
      <c r="H17" s="1836"/>
      <c r="I17" s="1837"/>
      <c r="J17" s="1838"/>
      <c r="K17" s="1838"/>
      <c r="L17" s="1834"/>
      <c r="M17" s="1834"/>
    </row>
    <row r="18" spans="1:13" s="1828" customFormat="1" ht="42.75" customHeight="1">
      <c r="A18" s="2679">
        <v>11</v>
      </c>
      <c r="B18" s="2680" t="s">
        <v>2015</v>
      </c>
      <c r="C18" s="2921" t="s">
        <v>1567</v>
      </c>
      <c r="D18" s="2682" t="s">
        <v>2016</v>
      </c>
      <c r="E18" s="2683"/>
      <c r="F18" s="2683">
        <f>248.135</f>
        <v>248.13499999999999</v>
      </c>
      <c r="G18" s="1918" t="e">
        <f t="shared" si="0"/>
        <v>#REF!</v>
      </c>
      <c r="K18" s="1829"/>
    </row>
    <row r="19" spans="1:13" s="1828" customFormat="1" ht="42.75" customHeight="1">
      <c r="A19" s="2679">
        <v>12</v>
      </c>
      <c r="B19" s="2680" t="s">
        <v>2044</v>
      </c>
      <c r="C19" s="2922"/>
      <c r="D19" s="2682" t="s">
        <v>2045</v>
      </c>
      <c r="E19" s="2683"/>
      <c r="F19" s="2683">
        <v>112.836</v>
      </c>
      <c r="G19" s="1918" t="e">
        <f t="shared" si="0"/>
        <v>#REF!</v>
      </c>
      <c r="K19" s="1829"/>
    </row>
    <row r="20" spans="1:13" s="1919" customFormat="1" ht="24" customHeight="1">
      <c r="A20" s="2679">
        <v>13</v>
      </c>
      <c r="B20" s="2680" t="s">
        <v>2017</v>
      </c>
      <c r="C20" s="2558" t="s">
        <v>2018</v>
      </c>
      <c r="D20" s="2682" t="s">
        <v>2019</v>
      </c>
      <c r="E20" s="2683"/>
      <c r="F20" s="2683">
        <f>8.909/1.18</f>
        <v>7.5500000000000007</v>
      </c>
      <c r="G20" s="1918" t="e">
        <f t="shared" si="0"/>
        <v>#REF!</v>
      </c>
      <c r="H20" s="2629"/>
      <c r="I20" s="2629"/>
      <c r="J20" s="2629"/>
      <c r="K20" s="2629"/>
      <c r="L20" s="2151"/>
      <c r="M20" s="2151"/>
    </row>
    <row r="21" spans="1:13" s="1919" customFormat="1" ht="24.75" hidden="1" customHeight="1">
      <c r="A21" s="1914">
        <f>A20+1</f>
        <v>14</v>
      </c>
      <c r="B21" s="1915" t="s">
        <v>1564</v>
      </c>
      <c r="C21" s="2626" t="s">
        <v>1563</v>
      </c>
      <c r="D21" s="1917" t="s">
        <v>1850</v>
      </c>
      <c r="E21" s="1918"/>
      <c r="F21" s="1918"/>
      <c r="G21" s="1918" t="e">
        <f t="shared" si="0"/>
        <v>#REF!</v>
      </c>
      <c r="K21" s="1920"/>
    </row>
    <row r="22" spans="1:13" s="1919" customFormat="1" ht="28.5" hidden="1" customHeight="1">
      <c r="A22" s="1914">
        <f t="shared" ref="A22" si="1">A21+1</f>
        <v>15</v>
      </c>
      <c r="B22" s="1915" t="s">
        <v>1565</v>
      </c>
      <c r="C22" s="2630"/>
      <c r="D22" s="1917" t="s">
        <v>1851</v>
      </c>
      <c r="E22" s="1918"/>
      <c r="F22" s="1918"/>
      <c r="G22" s="1918" t="e">
        <f t="shared" si="0"/>
        <v>#REF!</v>
      </c>
      <c r="I22" s="2627"/>
      <c r="K22" s="1920"/>
    </row>
    <row r="23" spans="1:13" s="1919" customFormat="1" ht="20.25" hidden="1" customHeight="1">
      <c r="A23" s="2919">
        <f>A18+1</f>
        <v>12</v>
      </c>
      <c r="B23" s="2915" t="s">
        <v>1853</v>
      </c>
      <c r="C23" s="2917" t="s">
        <v>1854</v>
      </c>
      <c r="D23" s="2913" t="s">
        <v>1855</v>
      </c>
      <c r="E23" s="1901">
        <f>'РСЭО факт за 2012г.'!E22</f>
        <v>73.745762711864401</v>
      </c>
      <c r="F23" s="1901"/>
      <c r="G23" s="1918" t="e">
        <f t="shared" si="0"/>
        <v>#REF!</v>
      </c>
      <c r="K23" s="1920"/>
    </row>
    <row r="24" spans="1:13" s="1919" customFormat="1" ht="19.5" hidden="1" customHeight="1">
      <c r="A24" s="2920"/>
      <c r="B24" s="2916"/>
      <c r="C24" s="2918"/>
      <c r="D24" s="2914"/>
      <c r="E24" s="1905" t="s">
        <v>1569</v>
      </c>
      <c r="F24" s="1905"/>
      <c r="G24" s="1918" t="e">
        <f t="shared" si="0"/>
        <v>#REF!</v>
      </c>
      <c r="K24" s="1920"/>
    </row>
    <row r="25" spans="1:13" s="1919" customFormat="1" ht="20.25" hidden="1" customHeight="1">
      <c r="A25" s="1914">
        <f>A23+1</f>
        <v>13</v>
      </c>
      <c r="B25" s="1915" t="s">
        <v>663</v>
      </c>
      <c r="C25" s="1916"/>
      <c r="D25" s="1917"/>
      <c r="E25" s="1918">
        <f>'РСЭО факт за 2012г.'!E23</f>
        <v>143.80702000000002</v>
      </c>
      <c r="F25" s="1918"/>
      <c r="G25" s="1918" t="e">
        <f t="shared" si="0"/>
        <v>#REF!</v>
      </c>
      <c r="J25" s="2627">
        <f>SUM(F24:F25)+F20</f>
        <v>7.5500000000000007</v>
      </c>
      <c r="K25" s="1920"/>
    </row>
    <row r="26" spans="1:13" s="1919" customFormat="1" ht="34.5" hidden="1" customHeight="1">
      <c r="A26" s="1914" t="s">
        <v>82</v>
      </c>
      <c r="B26" s="1915" t="s">
        <v>648</v>
      </c>
      <c r="C26" s="1916"/>
      <c r="D26" s="2628"/>
      <c r="E26" s="1918"/>
      <c r="F26" s="1918"/>
      <c r="G26" s="1918" t="e">
        <f t="shared" si="0"/>
        <v>#REF!</v>
      </c>
      <c r="K26" s="1920">
        <f>(71.4+71+40+30)/1.18</f>
        <v>180.00000000000003</v>
      </c>
    </row>
    <row r="27" spans="1:13" s="1919" customFormat="1" ht="28.5" hidden="1" customHeight="1">
      <c r="A27" s="1914" t="s">
        <v>83</v>
      </c>
      <c r="B27" s="1915" t="s">
        <v>1560</v>
      </c>
      <c r="C27" s="1916"/>
      <c r="D27" s="1916"/>
      <c r="E27" s="1918"/>
      <c r="F27" s="1918"/>
      <c r="G27" s="1918" t="e">
        <f t="shared" si="0"/>
        <v>#REF!</v>
      </c>
      <c r="K27" s="1920"/>
    </row>
    <row r="28" spans="1:13" s="1919" customFormat="1" ht="39.75" hidden="1" customHeight="1">
      <c r="A28" s="1914">
        <v>13</v>
      </c>
      <c r="B28" s="1915" t="s">
        <v>2036</v>
      </c>
      <c r="C28" s="1916" t="s">
        <v>231</v>
      </c>
      <c r="D28" s="1916" t="s">
        <v>2037</v>
      </c>
      <c r="E28" s="1918">
        <f>(59+70)/1.18</f>
        <v>109.32203389830509</v>
      </c>
      <c r="F28" s="1918"/>
      <c r="G28" s="1918"/>
    </row>
    <row r="29" spans="1:13" s="1511" customFormat="1" ht="39" hidden="1" customHeight="1">
      <c r="A29" s="1827">
        <f>A28+1</f>
        <v>14</v>
      </c>
      <c r="B29" s="1847" t="s">
        <v>1561</v>
      </c>
      <c r="C29" s="1846" t="s">
        <v>671</v>
      </c>
      <c r="D29" s="1840" t="s">
        <v>1422</v>
      </c>
      <c r="E29" s="1841">
        <v>30</v>
      </c>
      <c r="F29" s="1841"/>
      <c r="G29" s="1841">
        <v>30</v>
      </c>
    </row>
    <row r="30" spans="1:13" s="1711" customFormat="1" ht="26.25" customHeight="1">
      <c r="A30" s="1832"/>
      <c r="B30" s="1833" t="s">
        <v>640</v>
      </c>
      <c r="C30" s="1833"/>
      <c r="D30" s="1833"/>
      <c r="E30" s="1857">
        <f>SUM(E7:E29)</f>
        <v>356.87481661016955</v>
      </c>
      <c r="F30" s="1857">
        <f>SUM(F7:F16,F18:F28)</f>
        <v>3395.3006979661018</v>
      </c>
      <c r="G30" s="1857" t="e">
        <f>SUM(G7:G16,G18:G28)</f>
        <v>#REF!</v>
      </c>
      <c r="I30" s="2633" t="e">
        <f>G30*1.0296</f>
        <v>#REF!</v>
      </c>
      <c r="J30" s="2633"/>
    </row>
    <row r="31" spans="1:13" s="1711" customFormat="1" ht="12.75" hidden="1" customHeight="1">
      <c r="A31" s="1832"/>
      <c r="B31" s="543" t="s">
        <v>1766</v>
      </c>
      <c r="C31" s="1833"/>
      <c r="D31" s="1833"/>
      <c r="E31" s="1857">
        <f>SUM(E8:E30)</f>
        <v>713.74963322033909</v>
      </c>
      <c r="F31" s="1857">
        <f>SUM(F7:F14)</f>
        <v>1299.0107579661017</v>
      </c>
      <c r="G31" s="1857" t="e">
        <f>SUM(G7:G14)</f>
        <v>#REF!</v>
      </c>
    </row>
    <row r="32" spans="1:13" ht="20.25" customHeight="1">
      <c r="A32" s="1826" t="s">
        <v>266</v>
      </c>
      <c r="I32" s="1711"/>
      <c r="J32" s="1711"/>
    </row>
    <row r="33" spans="1:11" hidden="1">
      <c r="A33" s="1826" t="s">
        <v>1983</v>
      </c>
      <c r="I33" s="1711"/>
      <c r="J33" s="1711"/>
    </row>
    <row r="34" spans="1:11" s="2152" customFormat="1">
      <c r="A34" s="2151" t="s">
        <v>2060</v>
      </c>
      <c r="I34" s="2153"/>
    </row>
    <row r="35" spans="1:11" s="2152" customFormat="1">
      <c r="A35" s="2151" t="s">
        <v>2061</v>
      </c>
      <c r="I35" s="2153"/>
    </row>
    <row r="36" spans="1:11" s="2152" customFormat="1">
      <c r="B36" s="2631" t="s">
        <v>2062</v>
      </c>
      <c r="C36" s="2632">
        <f>'[11]НВВ на содержание'!$H$106/'[11]НВВ на содержание'!$G$106</f>
        <v>0.14248798501781809</v>
      </c>
      <c r="I36" s="2153"/>
    </row>
    <row r="37" spans="1:11" s="2152" customFormat="1">
      <c r="B37" s="2631" t="s">
        <v>2063</v>
      </c>
      <c r="C37" s="2632" t="e">
        <f>#REF!/100</f>
        <v>#REF!</v>
      </c>
      <c r="I37" s="2153"/>
    </row>
    <row r="38" spans="1:11" s="2151" customFormat="1" ht="17.25" customHeight="1">
      <c r="A38" s="2151" t="s">
        <v>2064</v>
      </c>
      <c r="F38" s="2634"/>
      <c r="K38" s="2151">
        <f>916.743*1.0355*1.0237</f>
        <v>971.78548732305023</v>
      </c>
    </row>
    <row r="40" spans="1:11" s="17" customFormat="1" ht="15.6">
      <c r="A40" s="51"/>
      <c r="J40" s="124"/>
    </row>
    <row r="41" spans="1:11" s="17" customFormat="1" ht="15.6">
      <c r="A41" s="51"/>
      <c r="J41" s="124"/>
    </row>
    <row r="43" spans="1:11">
      <c r="I43" s="1912"/>
    </row>
  </sheetData>
  <mergeCells count="5">
    <mergeCell ref="D23:D24"/>
    <mergeCell ref="B23:B24"/>
    <mergeCell ref="C23:C24"/>
    <mergeCell ref="A23:A24"/>
    <mergeCell ref="C18:C19"/>
  </mergeCells>
  <printOptions horizontalCentered="1"/>
  <pageMargins left="3.937007874015748E-2" right="3.937007874015748E-2" top="0.39370078740157483" bottom="0.11811023622047245" header="0.31496062992125984" footer="3.937007874015748E-2"/>
  <pageSetup paperSize="9" scale="67" orientation="landscape" r:id="rId1"/>
  <rowBreaks count="1" manualBreakCount="1">
    <brk id="41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7030A0"/>
  </sheetPr>
  <dimension ref="A1:M38"/>
  <sheetViews>
    <sheetView zoomScaleNormal="100" workbookViewId="0">
      <selection activeCell="A18" sqref="A18:F20"/>
    </sheetView>
  </sheetViews>
  <sheetFormatPr defaultColWidth="9.109375" defaultRowHeight="15"/>
  <cols>
    <col min="1" max="1" width="4.5546875" style="1825" customWidth="1"/>
    <col min="2" max="2" width="76.44140625" style="1825" customWidth="1"/>
    <col min="3" max="3" width="24.109375" style="1825" customWidth="1"/>
    <col min="4" max="4" width="50.44140625" style="1825" customWidth="1"/>
    <col min="5" max="5" width="15.6640625" style="1825" hidden="1" customWidth="1"/>
    <col min="6" max="6" width="19.5546875" style="1825" customWidth="1"/>
    <col min="7" max="7" width="19.5546875" style="1825" hidden="1" customWidth="1"/>
    <col min="8" max="16384" width="9.109375" style="1825"/>
  </cols>
  <sheetData>
    <row r="1" spans="1:13" ht="27.75" customHeight="1">
      <c r="A1" s="1849" t="s">
        <v>1986</v>
      </c>
      <c r="B1" s="1849"/>
      <c r="C1" s="1849"/>
      <c r="D1" s="1849"/>
      <c r="E1" s="1849"/>
      <c r="F1" s="1849"/>
    </row>
    <row r="2" spans="1:13" ht="25.5" customHeight="1">
      <c r="A2" s="1849" t="s">
        <v>1987</v>
      </c>
      <c r="B2" s="1849"/>
      <c r="C2" s="1849"/>
      <c r="D2" s="1849"/>
      <c r="E2" s="1849"/>
      <c r="F2" s="1849"/>
    </row>
    <row r="3" spans="1:13">
      <c r="A3" s="1826"/>
      <c r="B3" s="1826"/>
      <c r="C3" s="1826"/>
      <c r="D3" s="1826"/>
      <c r="E3" s="1826"/>
      <c r="F3" s="2155" t="s">
        <v>84</v>
      </c>
    </row>
    <row r="4" spans="1:13" s="1717" customFormat="1" ht="31.5" customHeight="1">
      <c r="A4" s="1850" t="s">
        <v>229</v>
      </c>
      <c r="B4" s="1851" t="s">
        <v>645</v>
      </c>
      <c r="C4" s="1851" t="s">
        <v>227</v>
      </c>
      <c r="D4" s="1851" t="s">
        <v>228</v>
      </c>
      <c r="E4" s="1852" t="s">
        <v>1252</v>
      </c>
      <c r="F4" s="1900" t="s">
        <v>1848</v>
      </c>
      <c r="G4" s="1900" t="s">
        <v>1767</v>
      </c>
      <c r="H4" s="1836">
        <v>2014</v>
      </c>
      <c r="I4" s="1837">
        <f>21287.15/172043.17</f>
        <v>0.12373144484608137</v>
      </c>
      <c r="J4" s="1838"/>
      <c r="K4" s="1838"/>
      <c r="L4" s="1834"/>
      <c r="M4" s="1834"/>
    </row>
    <row r="5" spans="1:13" s="1717" customFormat="1" ht="13.8" hidden="1">
      <c r="A5" s="1854" t="s">
        <v>1617</v>
      </c>
      <c r="B5" s="1855"/>
      <c r="C5" s="1855"/>
      <c r="D5" s="1856"/>
      <c r="E5" s="1856"/>
      <c r="F5" s="1856"/>
      <c r="G5" s="1856"/>
      <c r="H5" s="1836" t="s">
        <v>1838</v>
      </c>
      <c r="I5" s="1837">
        <f>'П1.30 -2020г., 1 и 2 п-е'!G9/('2016 тсо НК Энергосб'!B60+'2016 тсо кроме мрск'!B60+'П1.30 -2020г., 1 и 2 п-е'!G9)</f>
        <v>0.94164496074968507</v>
      </c>
      <c r="J5" s="1838"/>
      <c r="K5" s="1838"/>
      <c r="L5" s="1834"/>
      <c r="M5" s="1834"/>
    </row>
    <row r="6" spans="1:13" s="1919" customFormat="1" ht="26.4" hidden="1">
      <c r="A6" s="1914">
        <v>1</v>
      </c>
      <c r="B6" s="1915" t="s">
        <v>1627</v>
      </c>
      <c r="C6" s="1916" t="s">
        <v>1613</v>
      </c>
      <c r="D6" s="1917" t="s">
        <v>1614</v>
      </c>
      <c r="E6" s="1918"/>
      <c r="F6" s="1918">
        <f>44.17697/1.18</f>
        <v>37.438110169491523</v>
      </c>
      <c r="G6" s="1918">
        <f>F6</f>
        <v>37.438110169491523</v>
      </c>
      <c r="K6" s="1920"/>
    </row>
    <row r="7" spans="1:13" s="1919" customFormat="1" ht="52.5" hidden="1" customHeight="1">
      <c r="A7" s="1914">
        <f>A6+1</f>
        <v>2</v>
      </c>
      <c r="B7" s="1915" t="s">
        <v>1615</v>
      </c>
      <c r="C7" s="1921" t="s">
        <v>1616</v>
      </c>
      <c r="D7" s="1917" t="s">
        <v>1618</v>
      </c>
      <c r="E7" s="1918"/>
      <c r="F7" s="1918">
        <f>490/1.18</f>
        <v>415.25423728813564</v>
      </c>
      <c r="G7" s="1918">
        <f>F7</f>
        <v>415.25423728813564</v>
      </c>
      <c r="K7" s="1920"/>
    </row>
    <row r="8" spans="1:13" s="1919" customFormat="1" ht="26.4" hidden="1">
      <c r="A8" s="1914">
        <f>A7+1</f>
        <v>3</v>
      </c>
      <c r="B8" s="1915" t="s">
        <v>1622</v>
      </c>
      <c r="C8" s="1916" t="s">
        <v>1623</v>
      </c>
      <c r="D8" s="1917" t="s">
        <v>1624</v>
      </c>
      <c r="E8" s="1918"/>
      <c r="F8" s="1918">
        <f>96.76/1.18</f>
        <v>82.000000000000014</v>
      </c>
      <c r="G8" s="1918">
        <f>F8</f>
        <v>82.000000000000014</v>
      </c>
      <c r="K8" s="1920"/>
    </row>
    <row r="9" spans="1:13" s="1919" customFormat="1" ht="39.6" hidden="1">
      <c r="A9" s="1914">
        <f>A8+1</f>
        <v>4</v>
      </c>
      <c r="B9" s="2149" t="s">
        <v>1770</v>
      </c>
      <c r="C9" s="2144" t="s">
        <v>1765</v>
      </c>
      <c r="D9" s="2150" t="s">
        <v>1768</v>
      </c>
      <c r="E9" s="2145"/>
      <c r="F9" s="2145">
        <f>1254.23765</f>
        <v>1254.23765</v>
      </c>
      <c r="G9" s="2145">
        <f>F9*$I$5</f>
        <v>1181.0465627050273</v>
      </c>
      <c r="K9" s="1920"/>
    </row>
    <row r="10" spans="1:13" s="1919" customFormat="1" ht="42" hidden="1" customHeight="1">
      <c r="A10" s="1914">
        <f>A9+1</f>
        <v>5</v>
      </c>
      <c r="B10" s="2149" t="s">
        <v>1771</v>
      </c>
      <c r="C10" s="2144" t="s">
        <v>1765</v>
      </c>
      <c r="D10" s="2150" t="s">
        <v>1769</v>
      </c>
      <c r="E10" s="2145"/>
      <c r="F10" s="2145">
        <f>192.59149</f>
        <v>192.59148999999999</v>
      </c>
      <c r="G10" s="2145">
        <f>F10*$I$5</f>
        <v>181.35280604177336</v>
      </c>
      <c r="K10" s="1920"/>
    </row>
    <row r="11" spans="1:13" s="1919" customFormat="1" ht="18" hidden="1" customHeight="1">
      <c r="A11" s="1914"/>
      <c r="B11" s="1915"/>
      <c r="C11" s="1916"/>
      <c r="D11" s="1917"/>
      <c r="E11" s="1918"/>
      <c r="F11" s="1918"/>
      <c r="G11" s="1918"/>
      <c r="K11" s="1920"/>
    </row>
    <row r="12" spans="1:13" s="1919" customFormat="1" ht="18" hidden="1" customHeight="1">
      <c r="A12" s="1914"/>
      <c r="B12" s="1915"/>
      <c r="C12" s="1916"/>
      <c r="D12" s="1917"/>
      <c r="E12" s="1918"/>
      <c r="F12" s="1918"/>
      <c r="G12" s="1918"/>
      <c r="K12" s="1920"/>
    </row>
    <row r="13" spans="1:13" s="1717" customFormat="1" ht="13.8" hidden="1">
      <c r="A13" s="1854" t="s">
        <v>1626</v>
      </c>
      <c r="B13" s="1855"/>
      <c r="C13" s="1855"/>
      <c r="D13" s="1856"/>
      <c r="E13" s="1856"/>
      <c r="F13" s="1856"/>
      <c r="G13" s="1856"/>
      <c r="H13" s="1836" t="s">
        <v>1557</v>
      </c>
      <c r="I13" s="1837">
        <f>'П1.30 -2020г., 1 и 2 п-е'!AG10</f>
        <v>0</v>
      </c>
      <c r="J13" s="1838"/>
      <c r="K13" s="1838"/>
      <c r="L13" s="1834"/>
      <c r="M13" s="1834"/>
    </row>
    <row r="14" spans="1:13" s="1511" customFormat="1" ht="24" customHeight="1">
      <c r="A14" s="1827">
        <v>1</v>
      </c>
      <c r="B14" s="1847" t="s">
        <v>1562</v>
      </c>
      <c r="C14" s="2892" t="s">
        <v>1563</v>
      </c>
      <c r="D14" s="1840" t="s">
        <v>1849</v>
      </c>
      <c r="E14" s="1841"/>
      <c r="F14" s="1841">
        <f>72.8046</f>
        <v>72.804599999999994</v>
      </c>
      <c r="G14" s="1841">
        <f>72.8046</f>
        <v>72.804599999999994</v>
      </c>
      <c r="H14" s="1839"/>
      <c r="I14" s="1839"/>
      <c r="J14" s="1839"/>
      <c r="K14" s="1839"/>
      <c r="L14" s="1835"/>
      <c r="M14" s="1835"/>
    </row>
    <row r="15" spans="1:13" s="1828" customFormat="1" ht="24.75" customHeight="1">
      <c r="A15" s="1827">
        <f>A14+1</f>
        <v>2</v>
      </c>
      <c r="B15" s="1847" t="s">
        <v>1564</v>
      </c>
      <c r="C15" s="2893"/>
      <c r="D15" s="1840" t="s">
        <v>1850</v>
      </c>
      <c r="E15" s="1841"/>
      <c r="F15" s="1841">
        <v>40</v>
      </c>
      <c r="G15" s="1841">
        <v>40</v>
      </c>
      <c r="K15" s="1829"/>
    </row>
    <row r="16" spans="1:13" s="1828" customFormat="1" ht="28.5" customHeight="1">
      <c r="A16" s="1827">
        <f t="shared" ref="A16:A18" si="0">A15+1</f>
        <v>3</v>
      </c>
      <c r="B16" s="1847" t="s">
        <v>1565</v>
      </c>
      <c r="C16" s="2894"/>
      <c r="D16" s="1840" t="s">
        <v>1851</v>
      </c>
      <c r="E16" s="1841"/>
      <c r="F16" s="1841">
        <v>384.13099999999997</v>
      </c>
      <c r="G16" s="1841">
        <v>384.13099999999997</v>
      </c>
      <c r="I16" s="1830"/>
      <c r="K16" s="1829"/>
    </row>
    <row r="17" spans="1:11" s="1828" customFormat="1" ht="42.75" customHeight="1">
      <c r="A17" s="1827">
        <f t="shared" si="0"/>
        <v>4</v>
      </c>
      <c r="B17" s="1847" t="s">
        <v>1566</v>
      </c>
      <c r="C17" s="1845" t="s">
        <v>1567</v>
      </c>
      <c r="D17" s="1840" t="s">
        <v>1852</v>
      </c>
      <c r="E17" s="1841"/>
      <c r="F17" s="1841">
        <v>152.77305000000001</v>
      </c>
      <c r="G17" s="1841">
        <v>152.77305000000001</v>
      </c>
      <c r="K17" s="1829"/>
    </row>
    <row r="18" spans="1:11" s="1828" customFormat="1" ht="20.25" hidden="1" customHeight="1">
      <c r="A18" s="2923">
        <f t="shared" si="0"/>
        <v>5</v>
      </c>
      <c r="B18" s="2925" t="s">
        <v>1853</v>
      </c>
      <c r="C18" s="2927" t="s">
        <v>1854</v>
      </c>
      <c r="D18" s="2929" t="s">
        <v>1855</v>
      </c>
      <c r="E18" s="2146">
        <f>'РСЭО факт за 2012г.'!E22</f>
        <v>73.745762711864401</v>
      </c>
      <c r="F18" s="2146">
        <f>16+1.7+8.5+1.7+1.7+1.7+1.7</f>
        <v>33</v>
      </c>
      <c r="G18" s="2146">
        <f>F18*$I$5</f>
        <v>31.074283704739607</v>
      </c>
      <c r="K18" s="1829"/>
    </row>
    <row r="19" spans="1:11" s="1828" customFormat="1" ht="19.5" hidden="1" customHeight="1">
      <c r="A19" s="2924"/>
      <c r="B19" s="2926"/>
      <c r="C19" s="2928"/>
      <c r="D19" s="2885"/>
      <c r="E19" s="2147" t="s">
        <v>1569</v>
      </c>
      <c r="F19" s="2147"/>
      <c r="G19" s="2148"/>
      <c r="K19" s="1829"/>
    </row>
    <row r="20" spans="1:11" s="1828" customFormat="1" ht="20.25" hidden="1" customHeight="1">
      <c r="A20" s="1827">
        <f>A18+1</f>
        <v>6</v>
      </c>
      <c r="B20" s="2142" t="s">
        <v>663</v>
      </c>
      <c r="C20" s="2140"/>
      <c r="D20" s="2143"/>
      <c r="E20" s="2141">
        <f>'РСЭО факт за 2012г.'!E23</f>
        <v>143.80702000000002</v>
      </c>
      <c r="F20" s="2141"/>
      <c r="G20" s="2141">
        <f>F20*$I$5</f>
        <v>0</v>
      </c>
      <c r="J20" s="1830">
        <f>SUM(F19:F20)+F14</f>
        <v>72.804599999999994</v>
      </c>
      <c r="K20" s="1829"/>
    </row>
    <row r="21" spans="1:11" s="1828" customFormat="1" ht="34.5" hidden="1" customHeight="1">
      <c r="A21" s="1827" t="s">
        <v>82</v>
      </c>
      <c r="B21" s="1847" t="s">
        <v>648</v>
      </c>
      <c r="C21" s="1845"/>
      <c r="D21" s="1842"/>
      <c r="E21" s="1841"/>
      <c r="F21" s="1841"/>
      <c r="G21" s="1841"/>
      <c r="K21" s="1829">
        <f>(71.4+71+40+30)/1.18</f>
        <v>180.00000000000003</v>
      </c>
    </row>
    <row r="22" spans="1:11" s="1712" customFormat="1" ht="28.5" hidden="1" customHeight="1">
      <c r="A22" s="1827" t="s">
        <v>83</v>
      </c>
      <c r="B22" s="1848" t="s">
        <v>1560</v>
      </c>
      <c r="C22" s="1845"/>
      <c r="D22" s="1843"/>
      <c r="E22" s="1844"/>
      <c r="F22" s="1844"/>
      <c r="G22" s="1844"/>
      <c r="K22" s="1831"/>
    </row>
    <row r="23" spans="1:11" s="1511" customFormat="1" ht="39.75" hidden="1" customHeight="1">
      <c r="A23" s="1827">
        <v>6</v>
      </c>
      <c r="B23" s="1847" t="s">
        <v>1857</v>
      </c>
      <c r="C23" s="1845" t="s">
        <v>231</v>
      </c>
      <c r="D23" s="1916" t="s">
        <v>1858</v>
      </c>
      <c r="E23" s="1918">
        <f>(59+70)/1.18</f>
        <v>109.32203389830509</v>
      </c>
      <c r="F23" s="1922">
        <f>(63.72+75.6+40+40)/1.18</f>
        <v>185.86440677966101</v>
      </c>
      <c r="G23" s="1922">
        <f>F23</f>
        <v>185.86440677966101</v>
      </c>
    </row>
    <row r="24" spans="1:11" s="1511" customFormat="1" ht="39" hidden="1" customHeight="1">
      <c r="A24" s="1827">
        <f>A23+1</f>
        <v>7</v>
      </c>
      <c r="B24" s="1847" t="s">
        <v>1561</v>
      </c>
      <c r="C24" s="1846" t="s">
        <v>671</v>
      </c>
      <c r="D24" s="1840" t="s">
        <v>1422</v>
      </c>
      <c r="E24" s="1841">
        <v>30</v>
      </c>
      <c r="F24" s="1841"/>
      <c r="G24" s="1841">
        <v>30</v>
      </c>
    </row>
    <row r="25" spans="1:11" s="1711" customFormat="1" ht="26.25" customHeight="1">
      <c r="A25" s="1832"/>
      <c r="B25" s="1833" t="s">
        <v>640</v>
      </c>
      <c r="C25" s="1833"/>
      <c r="D25" s="1833"/>
      <c r="E25" s="1857">
        <f>SUM(E6:E24)</f>
        <v>356.87481661016955</v>
      </c>
      <c r="F25" s="1857">
        <f>F14+F15+F16+F17</f>
        <v>649.70865000000003</v>
      </c>
      <c r="G25" s="1857">
        <f>G14+G15+G16+G17+G18+G23</f>
        <v>866.64734048440073</v>
      </c>
      <c r="K25" s="1711">
        <f>F25/3</f>
        <v>216.56955000000002</v>
      </c>
    </row>
    <row r="26" spans="1:11" s="1711" customFormat="1" ht="12.75" hidden="1" customHeight="1">
      <c r="A26" s="1832"/>
      <c r="B26" s="543" t="s">
        <v>1766</v>
      </c>
      <c r="C26" s="1833"/>
      <c r="D26" s="1833"/>
      <c r="E26" s="1857">
        <f>SUM(E7:E25)</f>
        <v>713.74963322033909</v>
      </c>
      <c r="F26" s="1857">
        <f>SUM(F6:F10)</f>
        <v>1981.5214874576272</v>
      </c>
      <c r="G26" s="1857">
        <f>SUM(G6:G10)</f>
        <v>1897.0917162044279</v>
      </c>
    </row>
    <row r="27" spans="1:11">
      <c r="A27" s="1826" t="s">
        <v>266</v>
      </c>
      <c r="I27" s="1711" t="s">
        <v>1570</v>
      </c>
      <c r="J27" s="1711"/>
    </row>
    <row r="28" spans="1:11">
      <c r="A28" s="1826" t="s">
        <v>1983</v>
      </c>
      <c r="I28" s="1711" t="s">
        <v>1570</v>
      </c>
      <c r="J28" s="1711"/>
    </row>
    <row r="29" spans="1:11" s="2152" customFormat="1" hidden="1">
      <c r="A29" s="2151" t="s">
        <v>1856</v>
      </c>
      <c r="I29" s="2153" t="s">
        <v>1571</v>
      </c>
    </row>
    <row r="30" spans="1:11" s="2152" customFormat="1" hidden="1">
      <c r="A30" s="2151" t="s">
        <v>1788</v>
      </c>
      <c r="I30" s="2154">
        <f>22941.249/170235.739</f>
        <v>0.13476164954998079</v>
      </c>
    </row>
    <row r="31" spans="1:11" s="2152" customFormat="1" hidden="1">
      <c r="A31" s="2151" t="s">
        <v>1789</v>
      </c>
      <c r="I31" s="2154"/>
    </row>
    <row r="32" spans="1:11" s="2152" customFormat="1" hidden="1">
      <c r="A32" s="2151" t="s">
        <v>1790</v>
      </c>
    </row>
    <row r="33" spans="1:10" s="2151" customFormat="1" ht="17.25" hidden="1" customHeight="1">
      <c r="A33" s="2151" t="s">
        <v>1772</v>
      </c>
    </row>
    <row r="35" spans="1:10" s="17" customFormat="1" ht="15.6">
      <c r="A35" s="51"/>
      <c r="J35" s="124"/>
    </row>
    <row r="36" spans="1:10" s="17" customFormat="1" ht="15.6">
      <c r="A36" s="51"/>
      <c r="J36" s="124"/>
    </row>
    <row r="38" spans="1:10">
      <c r="I38" s="1912">
        <f>G25*1.049</f>
        <v>909.11306016813626</v>
      </c>
    </row>
  </sheetData>
  <mergeCells count="5">
    <mergeCell ref="C14:C16"/>
    <mergeCell ref="A18:A19"/>
    <mergeCell ref="B18:B19"/>
    <mergeCell ref="C18:C19"/>
    <mergeCell ref="D18:D19"/>
  </mergeCells>
  <printOptions horizontalCentered="1"/>
  <pageMargins left="3.937007874015748E-2" right="3.937007874015748E-2" top="1.1811023622047245" bottom="0.11811023622047245" header="0.31496062992125984" footer="3.937007874015748E-2"/>
  <pageSetup paperSize="9" scale="75" orientation="landscape" r:id="rId1"/>
  <rowBreaks count="1" manualBreakCount="1">
    <brk id="3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C000"/>
  </sheetPr>
  <dimension ref="A1:M67"/>
  <sheetViews>
    <sheetView zoomScaleNormal="100" workbookViewId="0">
      <pane ySplit="6" topLeftCell="A48" activePane="bottomLeft" state="frozenSplit"/>
      <selection activeCell="C28" sqref="C28:C30"/>
      <selection pane="bottomLeft" activeCell="C26" sqref="C26:C31"/>
    </sheetView>
  </sheetViews>
  <sheetFormatPr defaultColWidth="17.6640625" defaultRowHeight="13.2"/>
  <cols>
    <col min="1" max="1" width="5.44140625" style="558" customWidth="1"/>
    <col min="2" max="2" width="49.44140625" style="120" customWidth="1"/>
    <col min="3" max="3" width="14.6640625" style="1813" customWidth="1"/>
    <col min="4" max="4" width="13.88671875" style="1813" customWidth="1"/>
    <col min="5" max="5" width="86.109375" style="1813" customWidth="1"/>
    <col min="6" max="6" width="84.109375" style="120" customWidth="1"/>
    <col min="7" max="16384" width="17.6640625" style="120"/>
  </cols>
  <sheetData>
    <row r="1" spans="1:12" ht="18" customHeight="1">
      <c r="A1" s="2577" t="s">
        <v>1974</v>
      </c>
      <c r="B1" s="2578"/>
      <c r="C1" s="2597"/>
      <c r="D1" s="2597"/>
      <c r="E1" s="2597"/>
      <c r="F1" s="566"/>
    </row>
    <row r="2" spans="1:12" ht="18" customHeight="1">
      <c r="A2" s="2577" t="s">
        <v>1940</v>
      </c>
      <c r="B2" s="2577"/>
      <c r="C2" s="2598"/>
      <c r="D2" s="2598"/>
      <c r="E2" s="2598"/>
      <c r="F2" s="196"/>
    </row>
    <row r="3" spans="1:12" ht="18.75" hidden="1" customHeight="1">
      <c r="A3" s="2574"/>
      <c r="B3" s="198"/>
      <c r="C3" s="2599"/>
      <c r="D3" s="2599"/>
      <c r="E3" s="2599"/>
      <c r="F3" s="566"/>
      <c r="G3" s="1144"/>
      <c r="H3" s="1144"/>
      <c r="I3" s="1144"/>
      <c r="J3" s="1144"/>
      <c r="K3" s="1144"/>
      <c r="L3" s="1144"/>
    </row>
    <row r="4" spans="1:12" ht="15.6">
      <c r="B4" s="750"/>
      <c r="C4" s="2063"/>
      <c r="E4" s="2605" t="s">
        <v>24</v>
      </c>
    </row>
    <row r="5" spans="1:12" s="238" customFormat="1" ht="63.75" customHeight="1">
      <c r="A5" s="504" t="s">
        <v>273</v>
      </c>
      <c r="B5" s="504" t="s">
        <v>304</v>
      </c>
      <c r="C5" s="2590" t="s">
        <v>1958</v>
      </c>
      <c r="D5" s="2590" t="s">
        <v>1947</v>
      </c>
      <c r="E5" s="2590" t="s">
        <v>1941</v>
      </c>
      <c r="F5" s="108"/>
    </row>
    <row r="6" spans="1:12" s="2579" customFormat="1" ht="16.5" customHeight="1">
      <c r="A6" s="264">
        <v>1</v>
      </c>
      <c r="B6" s="264">
        <v>2</v>
      </c>
      <c r="C6" s="2600">
        <v>3</v>
      </c>
      <c r="D6" s="2600">
        <v>4</v>
      </c>
      <c r="E6" s="2600">
        <v>5</v>
      </c>
      <c r="F6" s="2580"/>
    </row>
    <row r="7" spans="1:12" ht="19.5" customHeight="1">
      <c r="A7" s="2590"/>
      <c r="B7" s="2591" t="s">
        <v>1328</v>
      </c>
      <c r="C7" s="2596"/>
      <c r="D7" s="2596"/>
      <c r="E7" s="2594"/>
      <c r="F7" s="196"/>
    </row>
    <row r="8" spans="1:12" ht="50.25" customHeight="1">
      <c r="A8" s="2939" t="s">
        <v>76</v>
      </c>
      <c r="B8" s="2945" t="s">
        <v>781</v>
      </c>
      <c r="C8" s="2940">
        <v>0</v>
      </c>
      <c r="D8" s="2940">
        <v>3095.327531830188</v>
      </c>
      <c r="E8" s="2551" t="s">
        <v>1950</v>
      </c>
      <c r="F8" s="566"/>
    </row>
    <row r="9" spans="1:12" ht="17.25" customHeight="1">
      <c r="A9" s="2939"/>
      <c r="B9" s="2945"/>
      <c r="C9" s="2940"/>
      <c r="D9" s="2940"/>
      <c r="E9" s="2551" t="s">
        <v>1951</v>
      </c>
    </row>
    <row r="10" spans="1:12" ht="17.25" customHeight="1">
      <c r="A10" s="2939"/>
      <c r="B10" s="2945"/>
      <c r="C10" s="2940"/>
      <c r="D10" s="2940"/>
      <c r="E10" s="2551" t="s">
        <v>1952</v>
      </c>
    </row>
    <row r="11" spans="1:12" ht="27.75" customHeight="1">
      <c r="A11" s="2939"/>
      <c r="B11" s="2945"/>
      <c r="C11" s="2940"/>
      <c r="D11" s="2940"/>
      <c r="E11" s="2551" t="s">
        <v>1953</v>
      </c>
    </row>
    <row r="12" spans="1:12" ht="18" customHeight="1">
      <c r="A12" s="2939"/>
      <c r="B12" s="2945"/>
      <c r="C12" s="2940"/>
      <c r="D12" s="2940"/>
      <c r="E12" s="2551" t="s">
        <v>1954</v>
      </c>
    </row>
    <row r="13" spans="1:12" ht="25.5" customHeight="1">
      <c r="A13" s="2939"/>
      <c r="B13" s="2945"/>
      <c r="C13" s="2940"/>
      <c r="D13" s="2940"/>
      <c r="E13" s="2551" t="s">
        <v>1996</v>
      </c>
    </row>
    <row r="14" spans="1:12" ht="42" customHeight="1">
      <c r="A14" s="2939"/>
      <c r="B14" s="2945"/>
      <c r="C14" s="2940"/>
      <c r="D14" s="2940"/>
      <c r="E14" s="2551" t="s">
        <v>1949</v>
      </c>
      <c r="F14" s="2569"/>
    </row>
    <row r="15" spans="1:12" ht="28.5" customHeight="1">
      <c r="A15" s="2936" t="s">
        <v>77</v>
      </c>
      <c r="B15" s="2931" t="s">
        <v>783</v>
      </c>
      <c r="C15" s="2941">
        <v>307.8028544743168</v>
      </c>
      <c r="D15" s="2941">
        <v>971.89193667541724</v>
      </c>
      <c r="E15" s="2551" t="s">
        <v>1981</v>
      </c>
      <c r="F15" s="2570"/>
    </row>
    <row r="16" spans="1:12" ht="79.2">
      <c r="A16" s="2936"/>
      <c r="B16" s="2931"/>
      <c r="C16" s="2941"/>
      <c r="D16" s="2941"/>
      <c r="E16" s="2551" t="s">
        <v>1995</v>
      </c>
      <c r="F16" s="2570"/>
    </row>
    <row r="17" spans="1:6">
      <c r="A17" s="2936"/>
      <c r="B17" s="2931"/>
      <c r="C17" s="2941"/>
      <c r="D17" s="2941"/>
      <c r="E17" s="2609" t="s">
        <v>1989</v>
      </c>
      <c r="F17" s="2570"/>
    </row>
    <row r="18" spans="1:6">
      <c r="A18" s="2936"/>
      <c r="B18" s="2931"/>
      <c r="C18" s="2941"/>
      <c r="D18" s="2941"/>
      <c r="E18" s="2551" t="s">
        <v>1982</v>
      </c>
      <c r="F18" s="2570"/>
    </row>
    <row r="19" spans="1:6" ht="26.4">
      <c r="A19" s="2936"/>
      <c r="B19" s="2931"/>
      <c r="C19" s="2941"/>
      <c r="D19" s="2941"/>
      <c r="E19" s="2551" t="s">
        <v>1984</v>
      </c>
      <c r="F19" s="2570"/>
    </row>
    <row r="20" spans="1:6" ht="26.4">
      <c r="A20" s="2936"/>
      <c r="B20" s="2931"/>
      <c r="C20" s="2941"/>
      <c r="D20" s="2941"/>
      <c r="E20" s="2551" t="s">
        <v>1985</v>
      </c>
      <c r="F20" s="2570"/>
    </row>
    <row r="21" spans="1:6" ht="26.4">
      <c r="A21" s="2936"/>
      <c r="B21" s="2931"/>
      <c r="C21" s="2941"/>
      <c r="D21" s="2941"/>
      <c r="E21" s="2551" t="s">
        <v>1988</v>
      </c>
      <c r="F21" s="2570"/>
    </row>
    <row r="22" spans="1:6" ht="18.75" customHeight="1">
      <c r="A22" s="2936"/>
      <c r="B22" s="2931"/>
      <c r="C22" s="2941"/>
      <c r="D22" s="2941"/>
      <c r="E22" s="2551" t="s">
        <v>1993</v>
      </c>
      <c r="F22" s="2570"/>
    </row>
    <row r="23" spans="1:6" ht="18" hidden="1" customHeight="1">
      <c r="A23" s="2936"/>
      <c r="B23" s="2935"/>
      <c r="C23" s="2941"/>
      <c r="D23" s="2941"/>
      <c r="E23" s="2551" t="s">
        <v>1990</v>
      </c>
      <c r="F23" s="2570"/>
    </row>
    <row r="24" spans="1:6" ht="24" customHeight="1">
      <c r="A24" s="2936"/>
      <c r="B24" s="2935"/>
      <c r="C24" s="2941"/>
      <c r="D24" s="2941"/>
      <c r="E24" s="2551" t="s">
        <v>1992</v>
      </c>
      <c r="F24" s="2570"/>
    </row>
    <row r="25" spans="1:6" ht="28.5" customHeight="1">
      <c r="A25" s="2936"/>
      <c r="B25" s="2935"/>
      <c r="C25" s="2941"/>
      <c r="D25" s="2941"/>
      <c r="E25" s="2551" t="s">
        <v>1991</v>
      </c>
    </row>
    <row r="26" spans="1:6" ht="51" customHeight="1">
      <c r="A26" s="2938" t="s">
        <v>78</v>
      </c>
      <c r="B26" s="2946" t="s">
        <v>306</v>
      </c>
      <c r="C26" s="2937">
        <v>2017.3835583253363</v>
      </c>
      <c r="D26" s="2937">
        <v>10091.233869960961</v>
      </c>
      <c r="E26" s="2588" t="s">
        <v>1975</v>
      </c>
      <c r="F26" s="567"/>
    </row>
    <row r="27" spans="1:6" ht="55.5" customHeight="1">
      <c r="A27" s="2938"/>
      <c r="B27" s="2946" t="s">
        <v>305</v>
      </c>
      <c r="C27" s="2937" t="s">
        <v>162</v>
      </c>
      <c r="D27" s="2937">
        <v>0</v>
      </c>
      <c r="E27" s="2588" t="s">
        <v>1976</v>
      </c>
    </row>
    <row r="28" spans="1:6" ht="12.75" customHeight="1">
      <c r="A28" s="2938"/>
      <c r="B28" s="2946"/>
      <c r="C28" s="2937"/>
      <c r="D28" s="2937"/>
      <c r="E28" s="2610" t="s">
        <v>1977</v>
      </c>
      <c r="F28" s="567"/>
    </row>
    <row r="29" spans="1:6" ht="12.75" customHeight="1">
      <c r="A29" s="2938"/>
      <c r="B29" s="2946"/>
      <c r="C29" s="2937"/>
      <c r="D29" s="2937"/>
      <c r="E29" s="2611" t="s">
        <v>1978</v>
      </c>
      <c r="F29" s="567"/>
    </row>
    <row r="30" spans="1:6" ht="26.4">
      <c r="A30" s="2938"/>
      <c r="B30" s="2946"/>
      <c r="C30" s="2937"/>
      <c r="D30" s="2937"/>
      <c r="E30" s="2613" t="s">
        <v>1980</v>
      </c>
      <c r="F30" s="567"/>
    </row>
    <row r="31" spans="1:6" ht="27" customHeight="1">
      <c r="A31" s="2938"/>
      <c r="B31" s="2946"/>
      <c r="C31" s="2937"/>
      <c r="D31" s="2937"/>
      <c r="E31" s="2613" t="s">
        <v>1979</v>
      </c>
      <c r="F31" s="567"/>
    </row>
    <row r="32" spans="1:6" ht="19.5" customHeight="1">
      <c r="A32" s="2614" t="s">
        <v>79</v>
      </c>
      <c r="B32" s="2138" t="s">
        <v>1344</v>
      </c>
      <c r="C32" s="2615">
        <v>56.041447101844398</v>
      </c>
      <c r="D32" s="2615">
        <v>57.36738774027404</v>
      </c>
      <c r="E32" s="2612"/>
      <c r="F32" s="569"/>
    </row>
    <row r="33" spans="1:8" ht="12.75" customHeight="1">
      <c r="A33" s="280"/>
      <c r="B33" s="2616" t="s">
        <v>251</v>
      </c>
      <c r="C33" s="2602"/>
      <c r="D33" s="2602"/>
      <c r="E33" s="2612"/>
      <c r="F33" s="569"/>
      <c r="G33" s="568"/>
      <c r="H33" s="568"/>
    </row>
    <row r="34" spans="1:8" ht="15.6" hidden="1">
      <c r="A34" s="504" t="s">
        <v>252</v>
      </c>
      <c r="B34" s="2617" t="s">
        <v>72</v>
      </c>
      <c r="C34" s="2601"/>
      <c r="D34" s="2601"/>
      <c r="E34" s="2612"/>
      <c r="G34" s="568"/>
      <c r="H34" s="568"/>
    </row>
    <row r="35" spans="1:8" ht="28.2" hidden="1">
      <c r="A35" s="504" t="s">
        <v>252</v>
      </c>
      <c r="B35" s="2617" t="s">
        <v>1149</v>
      </c>
      <c r="C35" s="2601"/>
      <c r="D35" s="2601"/>
      <c r="E35" s="2612" t="s">
        <v>1150</v>
      </c>
      <c r="G35" s="568"/>
      <c r="H35" s="568"/>
    </row>
    <row r="36" spans="1:8" ht="15.6" hidden="1">
      <c r="A36" s="823" t="s">
        <v>254</v>
      </c>
      <c r="B36" s="2618" t="s">
        <v>380</v>
      </c>
      <c r="C36" s="2602"/>
      <c r="D36" s="2602"/>
      <c r="E36" s="2612"/>
      <c r="G36" s="568"/>
      <c r="H36" s="568"/>
    </row>
    <row r="37" spans="1:8" ht="15.6" hidden="1">
      <c r="A37" s="504" t="s">
        <v>253</v>
      </c>
      <c r="B37" s="2617" t="s">
        <v>700</v>
      </c>
      <c r="C37" s="2601"/>
      <c r="D37" s="2601"/>
      <c r="E37" s="2611"/>
      <c r="G37" s="568"/>
      <c r="H37" s="568"/>
    </row>
    <row r="38" spans="1:8" ht="63" customHeight="1">
      <c r="A38" s="2939" t="s">
        <v>298</v>
      </c>
      <c r="B38" s="2943" t="s">
        <v>1148</v>
      </c>
      <c r="C38" s="2933">
        <v>56.041447101844398</v>
      </c>
      <c r="D38" s="2933">
        <v>57.36738774027404</v>
      </c>
      <c r="E38" s="2613" t="s">
        <v>1955</v>
      </c>
      <c r="G38" s="568"/>
      <c r="H38" s="568"/>
    </row>
    <row r="39" spans="1:8" ht="27" customHeight="1">
      <c r="A39" s="2939"/>
      <c r="B39" s="2944"/>
      <c r="C39" s="2933"/>
      <c r="D39" s="2933"/>
      <c r="E39" s="2613" t="s">
        <v>1956</v>
      </c>
      <c r="G39" s="568"/>
      <c r="H39" s="568"/>
    </row>
    <row r="40" spans="1:8" ht="40.200000000000003">
      <c r="A40" s="2607" t="s">
        <v>80</v>
      </c>
      <c r="B40" s="2619" t="s">
        <v>1942</v>
      </c>
      <c r="C40" s="2606">
        <v>62.987836929832866</v>
      </c>
      <c r="D40" s="2606">
        <v>64.478129151592711</v>
      </c>
      <c r="E40" s="2588" t="s">
        <v>1957</v>
      </c>
      <c r="F40" s="2571"/>
    </row>
    <row r="41" spans="1:8" s="1813" customFormat="1" ht="22.5" customHeight="1">
      <c r="A41" s="2590"/>
      <c r="B41" s="2591" t="s">
        <v>1994</v>
      </c>
      <c r="C41" s="2592">
        <v>2444.2156968313307</v>
      </c>
      <c r="D41" s="2593">
        <v>14280.298855358433</v>
      </c>
      <c r="E41" s="2594"/>
      <c r="F41" s="1884"/>
    </row>
    <row r="42" spans="1:8" ht="27">
      <c r="A42" s="2622" t="s">
        <v>81</v>
      </c>
      <c r="B42" s="1204" t="s">
        <v>1939</v>
      </c>
      <c r="C42" s="2602">
        <v>7318.34</v>
      </c>
      <c r="D42" s="2602">
        <v>7967.8260660215437</v>
      </c>
      <c r="E42" s="2551" t="s">
        <v>1961</v>
      </c>
    </row>
    <row r="43" spans="1:8" ht="27">
      <c r="A43" s="2622" t="s">
        <v>82</v>
      </c>
      <c r="B43" s="1204" t="s">
        <v>1943</v>
      </c>
      <c r="C43" s="2602">
        <v>639.51058798913164</v>
      </c>
      <c r="D43" s="2602">
        <v>3198.9</v>
      </c>
      <c r="E43" s="2588" t="s">
        <v>1960</v>
      </c>
      <c r="F43" s="568">
        <v>639.51058798913164</v>
      </c>
      <c r="G43" s="568">
        <v>3198.9211367776247</v>
      </c>
      <c r="H43" s="568">
        <v>1432.9552095344563</v>
      </c>
    </row>
    <row r="44" spans="1:8" ht="65.25" customHeight="1">
      <c r="A44" s="2936" t="s">
        <v>83</v>
      </c>
      <c r="B44" s="2942" t="s">
        <v>307</v>
      </c>
      <c r="C44" s="2937">
        <v>102.46</v>
      </c>
      <c r="D44" s="2937">
        <v>123.58182353274685</v>
      </c>
      <c r="E44" s="2588" t="s">
        <v>1962</v>
      </c>
      <c r="F44" s="567"/>
    </row>
    <row r="45" spans="1:8" ht="26.4">
      <c r="A45" s="2936"/>
      <c r="B45" s="2942"/>
      <c r="C45" s="2937"/>
      <c r="D45" s="2937"/>
      <c r="E45" s="2588" t="s">
        <v>1964</v>
      </c>
      <c r="F45" s="567"/>
    </row>
    <row r="46" spans="1:8" ht="26.25" customHeight="1">
      <c r="A46" s="2936"/>
      <c r="B46" s="2942"/>
      <c r="C46" s="2937"/>
      <c r="D46" s="2937"/>
      <c r="E46" s="2588" t="s">
        <v>1963</v>
      </c>
      <c r="F46" s="2571"/>
    </row>
    <row r="47" spans="1:8" ht="52.8">
      <c r="A47" s="2930" t="s">
        <v>220</v>
      </c>
      <c r="B47" s="2931" t="s">
        <v>831</v>
      </c>
      <c r="C47" s="2933">
        <v>20.25</v>
      </c>
      <c r="D47" s="2933">
        <v>19.91423019072187</v>
      </c>
      <c r="E47" s="2551" t="s">
        <v>1971</v>
      </c>
    </row>
    <row r="48" spans="1:8" ht="15.75" customHeight="1">
      <c r="A48" s="2934"/>
      <c r="B48" s="2935"/>
      <c r="C48" s="2932"/>
      <c r="D48" s="2932"/>
      <c r="E48" s="2551" t="s">
        <v>1966</v>
      </c>
    </row>
    <row r="49" spans="1:13" ht="26.4">
      <c r="A49" s="2934"/>
      <c r="B49" s="2935"/>
      <c r="C49" s="2932"/>
      <c r="D49" s="2932"/>
      <c r="E49" s="2551" t="s">
        <v>1967</v>
      </c>
    </row>
    <row r="50" spans="1:13" ht="26.4">
      <c r="A50" s="2934"/>
      <c r="B50" s="2935"/>
      <c r="C50" s="2932"/>
      <c r="D50" s="2932"/>
      <c r="E50" s="2551" t="s">
        <v>1968</v>
      </c>
    </row>
    <row r="51" spans="1:13" ht="26.4">
      <c r="A51" s="2934"/>
      <c r="B51" s="2935"/>
      <c r="C51" s="2932"/>
      <c r="D51" s="2932"/>
      <c r="E51" s="2551" t="s">
        <v>1969</v>
      </c>
    </row>
    <row r="52" spans="1:13" ht="26.4">
      <c r="A52" s="2934"/>
      <c r="B52" s="2935"/>
      <c r="C52" s="2932"/>
      <c r="D52" s="2932"/>
      <c r="E52" s="2551" t="s">
        <v>1970</v>
      </c>
    </row>
    <row r="53" spans="1:13">
      <c r="A53" s="2934"/>
      <c r="B53" s="2935"/>
      <c r="C53" s="2932"/>
      <c r="D53" s="2932"/>
      <c r="E53" s="2609" t="s">
        <v>1972</v>
      </c>
    </row>
    <row r="54" spans="1:13" ht="26.4">
      <c r="A54" s="2934"/>
      <c r="B54" s="2935"/>
      <c r="C54" s="2932"/>
      <c r="D54" s="2932"/>
      <c r="E54" s="2551" t="s">
        <v>1973</v>
      </c>
    </row>
    <row r="55" spans="1:13" ht="27" customHeight="1">
      <c r="A55" s="2930" t="s">
        <v>221</v>
      </c>
      <c r="B55" s="2931" t="s">
        <v>845</v>
      </c>
      <c r="C55" s="2933">
        <v>0</v>
      </c>
      <c r="D55" s="2933">
        <v>16.119532287898178</v>
      </c>
      <c r="E55" s="2588" t="s">
        <v>1959</v>
      </c>
    </row>
    <row r="56" spans="1:13" ht="27" customHeight="1">
      <c r="A56" s="2930"/>
      <c r="B56" s="2932"/>
      <c r="C56" s="2933"/>
      <c r="D56" s="2933"/>
      <c r="E56" s="2588" t="s">
        <v>1965</v>
      </c>
    </row>
    <row r="57" spans="1:13" s="1884" customFormat="1" ht="18" customHeight="1">
      <c r="A57" s="2581"/>
      <c r="B57" s="2620" t="s">
        <v>1944</v>
      </c>
      <c r="C57" s="2582">
        <v>8080.5605879891318</v>
      </c>
      <c r="D57" s="2582">
        <v>11326.341652032908</v>
      </c>
      <c r="E57" s="2583"/>
      <c r="F57" s="2584"/>
    </row>
    <row r="58" spans="1:13" s="1884" customFormat="1" ht="63.75" customHeight="1">
      <c r="A58" s="2607" t="s">
        <v>221</v>
      </c>
      <c r="B58" s="2621" t="s">
        <v>1946</v>
      </c>
      <c r="C58" s="2595">
        <v>138.33651000000003</v>
      </c>
      <c r="D58" s="2595">
        <v>108.96197000000002</v>
      </c>
      <c r="E58" s="2589" t="s">
        <v>1948</v>
      </c>
      <c r="F58" s="2584"/>
    </row>
    <row r="59" spans="1:13" s="1884" customFormat="1" ht="15.6">
      <c r="A59" s="2607" t="s">
        <v>219</v>
      </c>
      <c r="B59" s="2621" t="s">
        <v>1924</v>
      </c>
      <c r="C59" s="2595">
        <v>0</v>
      </c>
      <c r="D59" s="2596">
        <v>0</v>
      </c>
      <c r="E59" s="2589"/>
      <c r="F59" s="2584"/>
    </row>
    <row r="60" spans="1:13" ht="29.25" customHeight="1">
      <c r="A60" s="2586"/>
      <c r="B60" s="2587" t="s">
        <v>1945</v>
      </c>
      <c r="C60" s="2603">
        <v>10663.112794820461</v>
      </c>
      <c r="D60" s="2603">
        <v>25715.602477391341</v>
      </c>
      <c r="E60" s="2608"/>
      <c r="F60" s="2572">
        <v>10663.112794820461</v>
      </c>
      <c r="H60" s="570"/>
    </row>
    <row r="61" spans="1:13" ht="14.25" customHeight="1">
      <c r="A61" s="2575"/>
      <c r="B61" s="785"/>
      <c r="C61" s="2604"/>
      <c r="D61" s="2604"/>
      <c r="E61" s="2604"/>
      <c r="F61" s="2572">
        <v>10993.382794820462</v>
      </c>
    </row>
    <row r="62" spans="1:13" ht="14.25" customHeight="1">
      <c r="A62" s="2575"/>
      <c r="B62" s="785"/>
      <c r="C62" s="2604"/>
      <c r="D62" s="2604"/>
      <c r="E62" s="2604"/>
      <c r="F62" s="2572">
        <v>27230.808452396504</v>
      </c>
    </row>
    <row r="63" spans="1:13" ht="15.6">
      <c r="B63" s="443"/>
      <c r="C63" s="2075"/>
      <c r="D63" s="1880"/>
      <c r="E63" s="1880"/>
      <c r="M63" s="2573"/>
    </row>
    <row r="64" spans="1:13">
      <c r="A64" s="2585"/>
      <c r="F64" s="571"/>
    </row>
    <row r="65" spans="1:1">
      <c r="A65" s="2585"/>
    </row>
    <row r="67" spans="1:1">
      <c r="A67" s="2576"/>
    </row>
  </sheetData>
  <mergeCells count="28">
    <mergeCell ref="A15:A25"/>
    <mergeCell ref="C26:C31"/>
    <mergeCell ref="A8:A14"/>
    <mergeCell ref="C8:C14"/>
    <mergeCell ref="C15:C25"/>
    <mergeCell ref="B15:B25"/>
    <mergeCell ref="B8:B14"/>
    <mergeCell ref="B26:B31"/>
    <mergeCell ref="D8:D14"/>
    <mergeCell ref="D15:D25"/>
    <mergeCell ref="B44:B46"/>
    <mergeCell ref="B38:B39"/>
    <mergeCell ref="C38:C39"/>
    <mergeCell ref="D38:D39"/>
    <mergeCell ref="A44:A46"/>
    <mergeCell ref="D26:D31"/>
    <mergeCell ref="D44:D46"/>
    <mergeCell ref="C44:C46"/>
    <mergeCell ref="A26:A31"/>
    <mergeCell ref="A38:A39"/>
    <mergeCell ref="A55:A56"/>
    <mergeCell ref="B55:B56"/>
    <mergeCell ref="C55:C56"/>
    <mergeCell ref="D55:D56"/>
    <mergeCell ref="A47:A54"/>
    <mergeCell ref="B47:B54"/>
    <mergeCell ref="C47:C54"/>
    <mergeCell ref="D47:D54"/>
  </mergeCells>
  <phoneticPr fontId="20" type="noConversion"/>
  <printOptions horizontalCentered="1"/>
  <pageMargins left="0.19685039370078741" right="0.19685039370078741" top="0.78740157480314965" bottom="0.11811023622047245" header="0.51181102362204722" footer="3.937007874015748E-2"/>
  <pageSetup paperSize="9" scale="85" orientation="landscape" r:id="rId1"/>
  <headerFooter alignWithMargins="0">
    <oddFooter>&amp;L____________________________________________
&amp;8&amp;F&amp;A&amp;R&amp;8&amp;P</oddFooter>
  </headerFooter>
  <rowBreaks count="2" manualBreakCount="2">
    <brk id="25" max="4" man="1"/>
    <brk id="46" max="4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7030A0"/>
  </sheetPr>
  <dimension ref="A1:T29"/>
  <sheetViews>
    <sheetView zoomScaleNormal="100" workbookViewId="0">
      <selection activeCell="C28" sqref="C28:C30"/>
    </sheetView>
  </sheetViews>
  <sheetFormatPr defaultColWidth="9.109375" defaultRowHeight="13.2"/>
  <cols>
    <col min="1" max="1" width="54.109375" style="758" customWidth="1"/>
    <col min="2" max="2" width="9.88671875" style="758" customWidth="1"/>
    <col min="3" max="8" width="11" style="758" customWidth="1"/>
    <col min="9" max="9" width="9.109375" style="757"/>
    <col min="10" max="16384" width="9.109375" style="758"/>
  </cols>
  <sheetData>
    <row r="1" spans="1:10" ht="21" customHeight="1">
      <c r="A1" s="755" t="s">
        <v>1824</v>
      </c>
      <c r="B1" s="487"/>
      <c r="C1" s="756"/>
      <c r="D1" s="756"/>
      <c r="E1" s="756"/>
      <c r="F1" s="756"/>
      <c r="G1" s="756"/>
      <c r="H1" s="756"/>
    </row>
    <row r="2" spans="1:10" ht="21" customHeight="1">
      <c r="A2" s="759" t="s">
        <v>1136</v>
      </c>
      <c r="B2" s="755"/>
      <c r="C2" s="756"/>
      <c r="D2" s="756"/>
      <c r="E2" s="756"/>
      <c r="F2" s="756"/>
      <c r="G2" s="756"/>
      <c r="H2" s="756"/>
    </row>
    <row r="3" spans="1:10" ht="20.25" customHeight="1">
      <c r="A3" s="759" t="s">
        <v>1119</v>
      </c>
      <c r="B3" s="760"/>
      <c r="C3" s="760"/>
      <c r="D3" s="760"/>
      <c r="E3" s="760"/>
      <c r="F3" s="760"/>
      <c r="G3" s="760"/>
      <c r="H3" s="760"/>
    </row>
    <row r="4" spans="1:10" ht="20.25" customHeight="1">
      <c r="A4" s="759"/>
      <c r="B4" s="760"/>
      <c r="C4" s="760"/>
      <c r="D4" s="760"/>
      <c r="E4" s="760"/>
      <c r="F4" s="760"/>
      <c r="G4" s="760"/>
      <c r="H4" s="760"/>
    </row>
    <row r="5" spans="1:10" ht="15.6">
      <c r="A5" s="1156" t="s">
        <v>2065</v>
      </c>
      <c r="C5" s="1124"/>
    </row>
    <row r="6" spans="1:10" ht="21.75" customHeight="1">
      <c r="C6" s="761"/>
      <c r="D6" s="761"/>
      <c r="E6" s="761"/>
      <c r="F6" s="761"/>
      <c r="G6" s="487" t="s">
        <v>1499</v>
      </c>
      <c r="H6" s="761"/>
    </row>
    <row r="7" spans="1:10" s="763" customFormat="1" ht="46.5" customHeight="1">
      <c r="A7" s="2947" t="s">
        <v>764</v>
      </c>
      <c r="B7" s="2947" t="s">
        <v>765</v>
      </c>
      <c r="C7" s="1162" t="s">
        <v>1118</v>
      </c>
      <c r="D7" s="1162"/>
      <c r="E7" s="1162"/>
      <c r="F7" s="1162" t="s">
        <v>1120</v>
      </c>
      <c r="G7" s="1162"/>
      <c r="H7" s="1162"/>
      <c r="I7" s="762"/>
      <c r="J7" s="1125">
        <v>14.085158006677034</v>
      </c>
    </row>
    <row r="8" spans="1:10" s="763" customFormat="1" ht="28.8">
      <c r="A8" s="2948"/>
      <c r="B8" s="2948"/>
      <c r="C8" s="1162" t="s">
        <v>857</v>
      </c>
      <c r="D8" s="1162" t="s">
        <v>1122</v>
      </c>
      <c r="E8" s="1162" t="s">
        <v>279</v>
      </c>
      <c r="F8" s="1162" t="s">
        <v>857</v>
      </c>
      <c r="G8" s="1162" t="s">
        <v>1122</v>
      </c>
      <c r="H8" s="1162" t="s">
        <v>279</v>
      </c>
      <c r="I8" s="762"/>
    </row>
    <row r="9" spans="1:10" s="776" customFormat="1" ht="21.75" customHeight="1">
      <c r="A9" s="772" t="s">
        <v>858</v>
      </c>
      <c r="B9" s="773" t="s">
        <v>859</v>
      </c>
      <c r="C9" s="774">
        <v>99</v>
      </c>
      <c r="D9" s="774">
        <v>49</v>
      </c>
      <c r="E9" s="774">
        <v>148</v>
      </c>
      <c r="F9" s="774">
        <v>14</v>
      </c>
      <c r="G9" s="774">
        <v>7</v>
      </c>
      <c r="H9" s="774">
        <v>21</v>
      </c>
      <c r="I9" s="775"/>
    </row>
    <row r="10" spans="1:10" s="776" customFormat="1" ht="21.75" customHeight="1">
      <c r="A10" s="772" t="s">
        <v>860</v>
      </c>
      <c r="B10" s="773" t="s">
        <v>84</v>
      </c>
      <c r="C10" s="777">
        <v>27957.087930000002</v>
      </c>
      <c r="D10" s="777">
        <v>13034.97647625</v>
      </c>
      <c r="E10" s="778">
        <v>40992.06440625</v>
      </c>
      <c r="F10" s="777">
        <v>3936.4999199999997</v>
      </c>
      <c r="G10" s="777">
        <v>1857.861936</v>
      </c>
      <c r="H10" s="777">
        <v>5794.3618559999995</v>
      </c>
      <c r="I10" s="775"/>
    </row>
    <row r="11" spans="1:10" s="776" customFormat="1" ht="21.75" customHeight="1">
      <c r="A11" s="772" t="s">
        <v>861</v>
      </c>
      <c r="B11" s="773" t="s">
        <v>225</v>
      </c>
      <c r="C11" s="778">
        <v>23532.902297979799</v>
      </c>
      <c r="D11" s="778">
        <v>22168.327340561227</v>
      </c>
      <c r="E11" s="778">
        <v>23081.117345861487</v>
      </c>
      <c r="F11" s="778">
        <v>23431.54714285714</v>
      </c>
      <c r="G11" s="778">
        <v>22117.404000000002</v>
      </c>
      <c r="H11" s="778">
        <v>22993.5</v>
      </c>
      <c r="I11" s="775"/>
    </row>
    <row r="12" spans="1:10" s="776" customFormat="1" ht="29.25" customHeight="1">
      <c r="A12" s="772" t="s">
        <v>1137</v>
      </c>
      <c r="B12" s="773" t="s">
        <v>84</v>
      </c>
      <c r="C12" s="777">
        <v>13653.72075</v>
      </c>
      <c r="D12" s="777">
        <v>4013.5157100000006</v>
      </c>
      <c r="E12" s="777">
        <v>17667.23646</v>
      </c>
      <c r="F12" s="777">
        <v>1909.9220399999999</v>
      </c>
      <c r="G12" s="777">
        <v>569.77113599999996</v>
      </c>
      <c r="H12" s="777">
        <v>2479.6931759999998</v>
      </c>
      <c r="I12" s="775"/>
    </row>
    <row r="13" spans="1:10" s="776" customFormat="1" ht="33" customHeight="1">
      <c r="A13" s="772" t="s">
        <v>244</v>
      </c>
      <c r="B13" s="773" t="s">
        <v>225</v>
      </c>
      <c r="C13" s="778">
        <v>11493.030934343435</v>
      </c>
      <c r="D13" s="778">
        <v>6825.7069897959191</v>
      </c>
      <c r="E13" s="778">
        <v>9947.7682770270276</v>
      </c>
      <c r="F13" s="778">
        <v>11368.583571428573</v>
      </c>
      <c r="G13" s="778">
        <v>6782.9897142857135</v>
      </c>
      <c r="H13" s="778">
        <v>9840.052285714286</v>
      </c>
      <c r="I13" s="775"/>
    </row>
    <row r="14" spans="1:10" s="776" customFormat="1" ht="21.75" customHeight="1">
      <c r="A14" s="772" t="s">
        <v>862</v>
      </c>
      <c r="B14" s="773" t="s">
        <v>87</v>
      </c>
      <c r="C14" s="779">
        <v>48.838136447496588</v>
      </c>
      <c r="D14" s="779">
        <v>30.790356371664423</v>
      </c>
      <c r="E14" s="779">
        <v>43.099162523042637</v>
      </c>
      <c r="F14" s="779">
        <v>48.518279659967575</v>
      </c>
      <c r="G14" s="779">
        <v>30.668109667326753</v>
      </c>
      <c r="H14" s="779">
        <v>42.794931307790243</v>
      </c>
      <c r="I14" s="775"/>
    </row>
    <row r="15" spans="1:10" s="776" customFormat="1" ht="21.75" customHeight="1">
      <c r="A15" s="772" t="s">
        <v>863</v>
      </c>
      <c r="B15" s="773" t="s">
        <v>84</v>
      </c>
      <c r="C15" s="777">
        <v>5361.3815200000035</v>
      </c>
      <c r="D15" s="777">
        <v>3766.2978899999998</v>
      </c>
      <c r="E15" s="777">
        <v>9127.6794100000043</v>
      </c>
      <c r="F15" s="777">
        <v>749.94144000000006</v>
      </c>
      <c r="G15" s="777">
        <v>535.14501600000006</v>
      </c>
      <c r="H15" s="777">
        <v>1285.086456</v>
      </c>
      <c r="I15" s="775"/>
    </row>
    <row r="16" spans="1:10" s="776" customFormat="1" ht="21.75" customHeight="1">
      <c r="A16" s="772" t="s">
        <v>864</v>
      </c>
      <c r="B16" s="773" t="s">
        <v>225</v>
      </c>
      <c r="C16" s="778">
        <v>4512.9474074074105</v>
      </c>
      <c r="D16" s="778">
        <v>6405.2685204081627</v>
      </c>
      <c r="E16" s="778">
        <v>5139.4591272522548</v>
      </c>
      <c r="F16" s="778">
        <v>4463.937142857143</v>
      </c>
      <c r="G16" s="778">
        <v>6370.7740000000003</v>
      </c>
      <c r="H16" s="778">
        <v>5099.55</v>
      </c>
      <c r="I16" s="775"/>
    </row>
    <row r="17" spans="1:20" s="776" customFormat="1" ht="21.75" customHeight="1">
      <c r="A17" s="772" t="s">
        <v>1138</v>
      </c>
      <c r="B17" s="773" t="s">
        <v>87</v>
      </c>
      <c r="C17" s="779">
        <v>19.177181591387598</v>
      </c>
      <c r="D17" s="779">
        <v>28.89378355889075</v>
      </c>
      <c r="E17" s="779">
        <v>22.266942497797988</v>
      </c>
      <c r="F17" s="779">
        <v>19.050970538315166</v>
      </c>
      <c r="G17" s="779">
        <v>28.804347924376657</v>
      </c>
      <c r="H17" s="779">
        <v>22.178224280775002</v>
      </c>
      <c r="I17" s="775"/>
    </row>
    <row r="18" spans="1:20" s="776" customFormat="1" ht="21.75" customHeight="1">
      <c r="A18" s="780" t="s">
        <v>865</v>
      </c>
      <c r="B18" s="781" t="s">
        <v>84</v>
      </c>
      <c r="C18" s="782">
        <v>46972.190200000005</v>
      </c>
      <c r="D18" s="782">
        <v>20814.790076249999</v>
      </c>
      <c r="E18" s="782">
        <v>67786.980276250004</v>
      </c>
      <c r="F18" s="782">
        <v>6596.3634000000002</v>
      </c>
      <c r="G18" s="782">
        <v>2962.778088</v>
      </c>
      <c r="H18" s="782">
        <v>9559.1414879999993</v>
      </c>
      <c r="I18" s="775"/>
      <c r="J18" s="1157">
        <v>18809.616000000002</v>
      </c>
      <c r="K18" s="1157">
        <v>2649.3641340492049</v>
      </c>
      <c r="L18" s="1157">
        <v>4019.5453719130314</v>
      </c>
    </row>
    <row r="19" spans="1:20" s="776" customFormat="1" ht="21.75" customHeight="1">
      <c r="A19" s="772" t="s">
        <v>866</v>
      </c>
      <c r="B19" s="773" t="s">
        <v>225</v>
      </c>
      <c r="C19" s="778">
        <v>39538.88063973064</v>
      </c>
      <c r="D19" s="778">
        <v>35399.302850765307</v>
      </c>
      <c r="E19" s="778">
        <v>38168.344750140772</v>
      </c>
      <c r="F19" s="778">
        <v>39264.067857142865</v>
      </c>
      <c r="G19" s="778">
        <v>35271.167714285715</v>
      </c>
      <c r="H19" s="778">
        <v>37933.101142857144</v>
      </c>
      <c r="I19" s="775"/>
      <c r="J19" s="1158">
        <v>6596.3634000000002</v>
      </c>
      <c r="K19" s="1158">
        <v>2962.778088</v>
      </c>
      <c r="L19" s="1158">
        <v>9559.1414880000011</v>
      </c>
      <c r="M19" s="1155"/>
    </row>
    <row r="20" spans="1:20" ht="12.75" customHeight="1">
      <c r="J20" s="758">
        <v>13930.224446769374</v>
      </c>
    </row>
    <row r="21" spans="1:20" s="17" customFormat="1" ht="15.6" hidden="1">
      <c r="A21" s="838" t="s">
        <v>874</v>
      </c>
      <c r="B21" s="838"/>
      <c r="C21" s="838"/>
      <c r="D21" s="651"/>
      <c r="E21" s="1118"/>
      <c r="F21" s="1118"/>
      <c r="G21" s="1118"/>
      <c r="H21" s="1118"/>
      <c r="I21" s="749"/>
      <c r="J21" s="1153">
        <v>0.14101736718532012</v>
      </c>
      <c r="K21" s="1153">
        <v>0.14043125031883225</v>
      </c>
      <c r="L21" s="1117" t="s">
        <v>1061</v>
      </c>
      <c r="M21" s="749"/>
      <c r="N21" s="749"/>
      <c r="S21" s="79"/>
      <c r="T21" s="527"/>
    </row>
    <row r="22" spans="1:20" s="17" customFormat="1" ht="15.6" hidden="1">
      <c r="A22" s="838"/>
      <c r="B22" s="119"/>
      <c r="C22" s="119"/>
      <c r="D22" s="1119" t="s">
        <v>873</v>
      </c>
      <c r="E22" s="1120" t="s">
        <v>760</v>
      </c>
      <c r="F22" s="838"/>
      <c r="G22" s="838"/>
      <c r="H22" s="651"/>
      <c r="J22" s="750"/>
      <c r="K22" s="749"/>
      <c r="L22" s="1116"/>
      <c r="M22" s="749"/>
      <c r="N22" s="749"/>
      <c r="P22" s="79"/>
      <c r="S22" s="80"/>
      <c r="T22" s="527"/>
    </row>
    <row r="23" spans="1:20" s="17" customFormat="1" ht="15.6" hidden="1">
      <c r="A23" s="52" t="s">
        <v>1107</v>
      </c>
      <c r="B23" s="119"/>
      <c r="C23" s="119"/>
      <c r="D23" s="1121">
        <v>23256.151319999997</v>
      </c>
      <c r="E23" s="1122">
        <v>20.549217680942228</v>
      </c>
      <c r="F23" s="1110"/>
      <c r="G23" s="119"/>
      <c r="H23" s="119"/>
      <c r="J23" s="193">
        <v>31984.329000000002</v>
      </c>
      <c r="L23" s="1117">
        <v>21.369630150413656</v>
      </c>
      <c r="M23" s="6"/>
      <c r="N23" s="6"/>
      <c r="S23" s="815">
        <v>14.130956778268864</v>
      </c>
      <c r="T23" s="527"/>
    </row>
    <row r="24" spans="1:20" s="17" customFormat="1" ht="15.6" hidden="1">
      <c r="A24" s="52" t="s">
        <v>875</v>
      </c>
      <c r="B24" s="119"/>
      <c r="C24" s="119"/>
      <c r="D24" s="1121">
        <v>141319.76300000001</v>
      </c>
      <c r="E24" s="1122">
        <v>79.45078231905778</v>
      </c>
      <c r="F24" s="119"/>
      <c r="G24" s="119"/>
      <c r="H24" s="119"/>
      <c r="J24" s="193">
        <v>123663.1</v>
      </c>
      <c r="L24" s="6"/>
      <c r="M24" s="6"/>
      <c r="N24" s="6"/>
      <c r="S24" s="815">
        <v>85.869043221731133</v>
      </c>
      <c r="T24" s="527"/>
    </row>
    <row r="25" spans="1:20" s="17" customFormat="1" ht="15.6" hidden="1">
      <c r="A25" s="52" t="s">
        <v>158</v>
      </c>
      <c r="B25" s="119"/>
      <c r="C25" s="119"/>
      <c r="D25" s="1121">
        <v>164575.91432000001</v>
      </c>
      <c r="E25" s="1123">
        <v>100</v>
      </c>
      <c r="F25" s="119"/>
      <c r="G25" s="119"/>
      <c r="H25" s="119"/>
      <c r="J25" s="193">
        <v>155647.429</v>
      </c>
      <c r="L25" s="6"/>
      <c r="M25" s="6"/>
      <c r="N25" s="6"/>
      <c r="S25" s="815">
        <v>100</v>
      </c>
      <c r="T25" s="527"/>
    </row>
    <row r="26" spans="1:20" ht="8.25" customHeight="1"/>
    <row r="27" spans="1:20">
      <c r="A27" s="51"/>
      <c r="J27" s="1989" t="s">
        <v>1685</v>
      </c>
      <c r="K27" s="1990"/>
      <c r="L27" s="1990"/>
    </row>
    <row r="28" spans="1:20">
      <c r="A28" s="51"/>
      <c r="J28" s="1991" t="s">
        <v>1686</v>
      </c>
      <c r="K28" s="1992" t="s">
        <v>1687</v>
      </c>
      <c r="L28" s="1993"/>
    </row>
    <row r="29" spans="1:20">
      <c r="J29" s="1991" t="s">
        <v>1688</v>
      </c>
      <c r="K29" s="1991" t="s">
        <v>1689</v>
      </c>
      <c r="L29" s="1993"/>
    </row>
  </sheetData>
  <mergeCells count="2">
    <mergeCell ref="A7:A8"/>
    <mergeCell ref="B7:B8"/>
  </mergeCells>
  <printOptions horizontalCentered="1"/>
  <pageMargins left="0.78740157480314965" right="0.78740157480314965" top="0.78740157480314965" bottom="0.11811023622047245" header="0.51181102362204722" footer="3.937007874015748E-2"/>
  <pageSetup paperSize="9" scale="93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7030A0"/>
  </sheetPr>
  <dimension ref="A1:AC56"/>
  <sheetViews>
    <sheetView zoomScaleNormal="100" zoomScaleSheetLayoutView="100" workbookViewId="0">
      <pane xSplit="5" ySplit="8" topLeftCell="F9" activePane="bottomRight" state="frozenSplit"/>
      <selection activeCell="C28" sqref="C28:C30"/>
      <selection pane="topRight" activeCell="C28" sqref="C28:C30"/>
      <selection pane="bottomLeft" activeCell="C28" sqref="C28:C30"/>
      <selection pane="bottomRight" activeCell="C28" sqref="C28:C30"/>
    </sheetView>
  </sheetViews>
  <sheetFormatPr defaultColWidth="9.109375" defaultRowHeight="13.2"/>
  <cols>
    <col min="1" max="1" width="3" style="1949" customWidth="1"/>
    <col min="2" max="2" width="27.6640625" style="1949" customWidth="1"/>
    <col min="3" max="3" width="3.88671875" style="1972" hidden="1" customWidth="1"/>
    <col min="4" max="4" width="6.33203125" style="1949" hidden="1" customWidth="1"/>
    <col min="5" max="5" width="8.33203125" style="1949" customWidth="1"/>
    <col min="6" max="6" width="8.44140625" style="1949" customWidth="1"/>
    <col min="7" max="7" width="8.6640625" style="1949" customWidth="1"/>
    <col min="8" max="8" width="7.44140625" style="1949" hidden="1" customWidth="1"/>
    <col min="9" max="9" width="6.44140625" style="1949" customWidth="1"/>
    <col min="10" max="10" width="6.33203125" style="1949" hidden="1" customWidth="1"/>
    <col min="11" max="11" width="8.5546875" style="1949" customWidth="1"/>
    <col min="12" max="12" width="7.88671875" style="1949" customWidth="1"/>
    <col min="13" max="13" width="6.6640625" style="1949" hidden="1" customWidth="1"/>
    <col min="14" max="14" width="6.5546875" style="1949" hidden="1" customWidth="1"/>
    <col min="15" max="15" width="7" style="1949" hidden="1" customWidth="1"/>
    <col min="16" max="16" width="8.5546875" style="1949" hidden="1" customWidth="1"/>
    <col min="17" max="17" width="6.5546875" style="1949" hidden="1" customWidth="1"/>
    <col min="18" max="18" width="7" style="1949" hidden="1" customWidth="1"/>
    <col min="19" max="19" width="9.109375" style="1984" hidden="1" customWidth="1"/>
    <col min="20" max="20" width="8.44140625" style="1984" hidden="1" customWidth="1"/>
    <col min="21" max="21" width="9.109375" style="1984" hidden="1" customWidth="1"/>
    <col min="22" max="22" width="12" style="1984" customWidth="1"/>
    <col min="23" max="26" width="10.5546875" style="1984" customWidth="1"/>
    <col min="27" max="16384" width="9.109375" style="1949"/>
  </cols>
  <sheetData>
    <row r="1" spans="1:26" ht="21" customHeight="1">
      <c r="A1" s="2093" t="s">
        <v>1747</v>
      </c>
      <c r="B1" s="1950"/>
      <c r="C1" s="1969"/>
      <c r="D1" s="1950"/>
      <c r="E1" s="984"/>
      <c r="F1" s="1951"/>
      <c r="G1" s="1951"/>
      <c r="H1" s="1951"/>
      <c r="I1" s="1951"/>
      <c r="J1" s="1951"/>
      <c r="K1" s="1951"/>
      <c r="L1" s="1951"/>
      <c r="M1" s="1951"/>
      <c r="N1" s="1951"/>
      <c r="O1" s="1951"/>
      <c r="P1" s="1951"/>
      <c r="Q1" s="1951"/>
      <c r="R1" s="1951"/>
      <c r="S1" s="1978"/>
      <c r="T1" s="1978"/>
      <c r="U1" s="1978"/>
      <c r="V1" s="1978"/>
      <c r="W1" s="1978"/>
      <c r="X1" s="1978"/>
      <c r="Y1" s="1978"/>
      <c r="Z1" s="1978"/>
    </row>
    <row r="2" spans="1:26" s="1952" customFormat="1" ht="21" customHeight="1">
      <c r="A2" s="2093" t="s">
        <v>1748</v>
      </c>
      <c r="B2" s="1950"/>
      <c r="C2" s="1969"/>
      <c r="D2" s="1950"/>
      <c r="E2" s="1957"/>
      <c r="F2" s="1953"/>
      <c r="G2" s="1953"/>
      <c r="H2" s="1953"/>
      <c r="I2" s="1953"/>
      <c r="J2" s="1953"/>
      <c r="K2" s="1953"/>
      <c r="L2" s="1953"/>
      <c r="M2" s="1953"/>
      <c r="N2" s="1953"/>
      <c r="O2" s="1953"/>
      <c r="P2" s="1953"/>
      <c r="Q2" s="1953"/>
      <c r="R2" s="1953"/>
      <c r="S2" s="1979"/>
      <c r="T2" s="1979"/>
      <c r="U2" s="1979"/>
      <c r="V2" s="1979"/>
      <c r="W2" s="1979"/>
      <c r="X2" s="1979"/>
      <c r="Y2" s="1979"/>
      <c r="Z2" s="1979"/>
    </row>
    <row r="3" spans="1:26" ht="21" customHeight="1">
      <c r="A3" s="1975" t="s">
        <v>1746</v>
      </c>
      <c r="B3" s="984"/>
      <c r="C3" s="1970"/>
      <c r="D3" s="1951"/>
      <c r="E3" s="1951"/>
      <c r="F3" s="1951"/>
      <c r="G3" s="1951"/>
      <c r="H3" s="1951"/>
      <c r="I3" s="1951"/>
      <c r="J3" s="1951"/>
      <c r="K3" s="1951"/>
      <c r="L3" s="1951"/>
      <c r="M3" s="1951"/>
      <c r="N3" s="1951"/>
      <c r="O3" s="1951"/>
      <c r="P3" s="1951"/>
      <c r="Q3" s="1951"/>
      <c r="R3" s="1951"/>
      <c r="S3" s="1978"/>
      <c r="T3" s="1978"/>
      <c r="U3" s="1978"/>
      <c r="V3" s="1978"/>
      <c r="W3" s="1978"/>
      <c r="X3" s="1978"/>
      <c r="Y3" s="1978"/>
      <c r="Z3" s="1978"/>
    </row>
    <row r="4" spans="1:26" ht="15.75" customHeight="1">
      <c r="A4" s="1951"/>
      <c r="B4" s="1954"/>
      <c r="C4" s="1970"/>
      <c r="D4" s="1951"/>
      <c r="E4" s="1951"/>
      <c r="F4" s="1951"/>
      <c r="G4" s="1951"/>
      <c r="H4" s="1951"/>
      <c r="I4" s="1951"/>
      <c r="J4" s="1951"/>
      <c r="K4" s="1951"/>
      <c r="L4" s="1951"/>
      <c r="M4" s="1951"/>
      <c r="N4" s="1951"/>
      <c r="O4" s="1951"/>
      <c r="P4" s="1951"/>
      <c r="Q4" s="1951"/>
      <c r="R4" s="1951"/>
      <c r="S4" s="1978"/>
      <c r="T4" s="1978"/>
      <c r="U4" s="1978"/>
      <c r="V4" s="1980"/>
      <c r="W4" s="1978"/>
      <c r="X4" s="1978"/>
      <c r="Y4" s="1978"/>
      <c r="Z4" s="1980"/>
    </row>
    <row r="5" spans="1:26" s="1955" customFormat="1" ht="16.5" customHeight="1">
      <c r="A5" s="2951" t="s">
        <v>951</v>
      </c>
      <c r="B5" s="2951" t="s">
        <v>1655</v>
      </c>
      <c r="C5" s="2959" t="s">
        <v>1669</v>
      </c>
      <c r="D5" s="2959" t="s">
        <v>1656</v>
      </c>
      <c r="E5" s="2951" t="s">
        <v>1678</v>
      </c>
      <c r="F5" s="2953" t="s">
        <v>1738</v>
      </c>
      <c r="G5" s="2954"/>
      <c r="H5" s="2954"/>
      <c r="I5" s="2954"/>
      <c r="J5" s="2954"/>
      <c r="K5" s="2954"/>
      <c r="L5" s="2954"/>
      <c r="M5" s="2954"/>
      <c r="N5" s="2954"/>
      <c r="O5" s="2954"/>
      <c r="P5" s="2954"/>
      <c r="Q5" s="2954"/>
      <c r="R5" s="2955"/>
      <c r="S5" s="1981" t="s">
        <v>1670</v>
      </c>
      <c r="T5" s="1981"/>
      <c r="U5" s="1981"/>
      <c r="V5" s="2949" t="s">
        <v>1662</v>
      </c>
      <c r="W5" s="1981" t="s">
        <v>1681</v>
      </c>
      <c r="X5" s="1981"/>
      <c r="Y5" s="1981"/>
      <c r="Z5" s="1982"/>
    </row>
    <row r="6" spans="1:26" s="1955" customFormat="1" ht="16.5" customHeight="1">
      <c r="A6" s="2958"/>
      <c r="B6" s="2958"/>
      <c r="C6" s="2960"/>
      <c r="D6" s="2960"/>
      <c r="E6" s="2958"/>
      <c r="F6" s="2951" t="s">
        <v>1657</v>
      </c>
      <c r="G6" s="2951" t="s">
        <v>1659</v>
      </c>
      <c r="H6" s="1959" t="s">
        <v>1658</v>
      </c>
      <c r="I6" s="1959"/>
      <c r="J6" s="1959"/>
      <c r="K6" s="1959"/>
      <c r="L6" s="1959"/>
      <c r="M6" s="1959"/>
      <c r="N6" s="1959"/>
      <c r="O6" s="1959"/>
      <c r="P6" s="1959"/>
      <c r="Q6" s="1959"/>
      <c r="R6" s="1959"/>
      <c r="S6" s="2951" t="s">
        <v>1657</v>
      </c>
      <c r="T6" s="2949" t="s">
        <v>1671</v>
      </c>
      <c r="U6" s="2949" t="s">
        <v>1672</v>
      </c>
      <c r="V6" s="2956"/>
      <c r="W6" s="2951" t="s">
        <v>1657</v>
      </c>
      <c r="X6" s="2949" t="s">
        <v>1671</v>
      </c>
      <c r="Y6" s="2949" t="s">
        <v>1672</v>
      </c>
      <c r="Z6" s="2949" t="s">
        <v>1673</v>
      </c>
    </row>
    <row r="7" spans="1:26" s="1955" customFormat="1" ht="84" customHeight="1">
      <c r="A7" s="2958"/>
      <c r="B7" s="2958"/>
      <c r="C7" s="2961"/>
      <c r="D7" s="2961"/>
      <c r="E7" s="2958"/>
      <c r="F7" s="2952"/>
      <c r="G7" s="2952"/>
      <c r="H7" s="1958" t="s">
        <v>1660</v>
      </c>
      <c r="I7" s="1958" t="s">
        <v>1675</v>
      </c>
      <c r="J7" s="1958" t="s">
        <v>1679</v>
      </c>
      <c r="K7" s="1958" t="s">
        <v>1661</v>
      </c>
      <c r="L7" s="1958" t="s">
        <v>1663</v>
      </c>
      <c r="M7" s="1958" t="s">
        <v>1680</v>
      </c>
      <c r="N7" s="1958" t="s">
        <v>1676</v>
      </c>
      <c r="O7" s="1958" t="s">
        <v>1664</v>
      </c>
      <c r="P7" s="1958" t="s">
        <v>1665</v>
      </c>
      <c r="Q7" s="1976" t="s">
        <v>1666</v>
      </c>
      <c r="R7" s="1976" t="s">
        <v>1667</v>
      </c>
      <c r="S7" s="2952"/>
      <c r="T7" s="2950"/>
      <c r="U7" s="2950"/>
      <c r="V7" s="2957"/>
      <c r="W7" s="2952"/>
      <c r="X7" s="2950"/>
      <c r="Y7" s="2950"/>
      <c r="Z7" s="2950"/>
    </row>
    <row r="8" spans="1:26" s="1964" customFormat="1" ht="15.75" customHeight="1">
      <c r="A8" s="1960" t="s">
        <v>1668</v>
      </c>
      <c r="B8" s="1961"/>
      <c r="C8" s="1971"/>
      <c r="D8" s="1962"/>
      <c r="E8" s="1962"/>
      <c r="F8" s="1963"/>
      <c r="G8" s="1963"/>
      <c r="H8" s="1963"/>
      <c r="I8" s="1963"/>
      <c r="J8" s="1963"/>
      <c r="K8" s="1963"/>
      <c r="L8" s="1963"/>
      <c r="M8" s="1963"/>
      <c r="N8" s="1963"/>
      <c r="O8" s="1963"/>
      <c r="P8" s="1977"/>
      <c r="Q8" s="1977"/>
      <c r="R8" s="1977"/>
      <c r="S8" s="1977"/>
      <c r="T8" s="1977"/>
      <c r="U8" s="1977"/>
      <c r="V8" s="1977"/>
      <c r="W8" s="1977"/>
      <c r="X8" s="1977"/>
      <c r="Y8" s="1977"/>
      <c r="Z8" s="1977"/>
    </row>
    <row r="9" spans="1:26" s="1968" customFormat="1" ht="13.8">
      <c r="A9" s="1965">
        <v>1</v>
      </c>
      <c r="B9" s="1966" t="s">
        <v>1677</v>
      </c>
      <c r="C9" s="1967"/>
      <c r="D9" s="1967"/>
      <c r="E9" s="1967">
        <v>1</v>
      </c>
      <c r="F9" s="1973">
        <v>13721</v>
      </c>
      <c r="G9" s="1974">
        <v>2524.15</v>
      </c>
      <c r="H9" s="1974"/>
      <c r="I9" s="1974">
        <v>1100</v>
      </c>
      <c r="J9" s="1974"/>
      <c r="K9" s="1974">
        <v>1372.1000000000001</v>
      </c>
      <c r="L9" s="1974">
        <v>2006</v>
      </c>
      <c r="M9" s="1974"/>
      <c r="N9" s="1974"/>
      <c r="O9" s="1974"/>
      <c r="P9" s="1974"/>
      <c r="Q9" s="1974"/>
      <c r="R9" s="1974"/>
      <c r="S9" s="1983">
        <v>13721</v>
      </c>
      <c r="T9" s="1983">
        <v>2524.15</v>
      </c>
      <c r="U9" s="1983">
        <v>4478.1000000000004</v>
      </c>
      <c r="V9" s="1983">
        <v>20723.25</v>
      </c>
      <c r="W9" s="1985">
        <v>164.65199999999999</v>
      </c>
      <c r="X9" s="1985">
        <v>30.2898</v>
      </c>
      <c r="Y9" s="1985">
        <v>53.737200000000001</v>
      </c>
      <c r="Z9" s="1985">
        <v>248.679</v>
      </c>
    </row>
    <row r="10" spans="1:26" s="1968" customFormat="1" ht="13.8">
      <c r="A10" s="1965">
        <v>2</v>
      </c>
      <c r="B10" s="1966" t="s">
        <v>1677</v>
      </c>
      <c r="C10" s="1967"/>
      <c r="D10" s="1967"/>
      <c r="E10" s="1967">
        <v>1</v>
      </c>
      <c r="F10" s="1973">
        <v>15062</v>
      </c>
      <c r="G10" s="1974">
        <v>2754.2999999999997</v>
      </c>
      <c r="H10" s="1974"/>
      <c r="I10" s="1974">
        <v>1100</v>
      </c>
      <c r="J10" s="1974"/>
      <c r="K10" s="1974">
        <v>1506.2</v>
      </c>
      <c r="L10" s="1974">
        <v>2202</v>
      </c>
      <c r="M10" s="1974"/>
      <c r="N10" s="1974"/>
      <c r="O10" s="1974"/>
      <c r="P10" s="1974"/>
      <c r="Q10" s="1974"/>
      <c r="R10" s="1974"/>
      <c r="S10" s="1983">
        <v>15062</v>
      </c>
      <c r="T10" s="1983">
        <v>2754.2999999999997</v>
      </c>
      <c r="U10" s="1983">
        <v>4808.2</v>
      </c>
      <c r="V10" s="1983">
        <v>22624.5</v>
      </c>
      <c r="W10" s="1985">
        <v>180.744</v>
      </c>
      <c r="X10" s="1985">
        <v>33.051599999999993</v>
      </c>
      <c r="Y10" s="1985">
        <v>57.698400000000007</v>
      </c>
      <c r="Z10" s="1985">
        <v>271.49399999999997</v>
      </c>
    </row>
    <row r="11" spans="1:26" s="1968" customFormat="1" ht="13.8">
      <c r="A11" s="1965">
        <v>3</v>
      </c>
      <c r="B11" s="1966" t="s">
        <v>1677</v>
      </c>
      <c r="C11" s="1967"/>
      <c r="D11" s="1967"/>
      <c r="E11" s="1967">
        <v>1</v>
      </c>
      <c r="F11" s="1973">
        <v>15062</v>
      </c>
      <c r="G11" s="1974">
        <v>2754.2999999999997</v>
      </c>
      <c r="H11" s="1974"/>
      <c r="I11" s="1974">
        <v>1100</v>
      </c>
      <c r="J11" s="1974"/>
      <c r="K11" s="1974">
        <v>1506.2</v>
      </c>
      <c r="L11" s="1974">
        <v>2202</v>
      </c>
      <c r="M11" s="1974"/>
      <c r="N11" s="1974"/>
      <c r="O11" s="1974"/>
      <c r="P11" s="1974"/>
      <c r="Q11" s="1974"/>
      <c r="R11" s="1974"/>
      <c r="S11" s="1983">
        <v>15062</v>
      </c>
      <c r="T11" s="1983">
        <v>2754.2999999999997</v>
      </c>
      <c r="U11" s="1983">
        <v>4808.2</v>
      </c>
      <c r="V11" s="1983">
        <v>22624.5</v>
      </c>
      <c r="W11" s="1985">
        <v>180.744</v>
      </c>
      <c r="X11" s="1985">
        <v>33.051599999999993</v>
      </c>
      <c r="Y11" s="1985">
        <v>57.698400000000007</v>
      </c>
      <c r="Z11" s="1985">
        <v>271.49399999999997</v>
      </c>
    </row>
    <row r="12" spans="1:26" s="1968" customFormat="1" ht="13.8">
      <c r="A12" s="1965">
        <v>4</v>
      </c>
      <c r="B12" s="1966" t="s">
        <v>1677</v>
      </c>
      <c r="C12" s="1967"/>
      <c r="D12" s="1967"/>
      <c r="E12" s="1967">
        <v>1</v>
      </c>
      <c r="F12" s="1973">
        <v>13721</v>
      </c>
      <c r="G12" s="1974">
        <v>2524.15</v>
      </c>
      <c r="H12" s="1974"/>
      <c r="I12" s="1974">
        <v>1100</v>
      </c>
      <c r="J12" s="1974"/>
      <c r="K12" s="1974">
        <v>2058.15</v>
      </c>
      <c r="L12" s="1974">
        <v>2006</v>
      </c>
      <c r="M12" s="1974"/>
      <c r="N12" s="1974"/>
      <c r="O12" s="1974"/>
      <c r="P12" s="1974"/>
      <c r="Q12" s="1974"/>
      <c r="R12" s="1974"/>
      <c r="S12" s="1983">
        <v>13721</v>
      </c>
      <c r="T12" s="1983">
        <v>2524.15</v>
      </c>
      <c r="U12" s="1983">
        <v>5164.1499999999996</v>
      </c>
      <c r="V12" s="1983">
        <v>21409.300000000003</v>
      </c>
      <c r="W12" s="1985">
        <v>164.65199999999999</v>
      </c>
      <c r="X12" s="1985">
        <v>30.2898</v>
      </c>
      <c r="Y12" s="1985">
        <v>61.969799999999992</v>
      </c>
      <c r="Z12" s="1985">
        <v>256.91160000000002</v>
      </c>
    </row>
    <row r="13" spans="1:26" s="1968" customFormat="1" ht="13.8">
      <c r="A13" s="1965">
        <v>5</v>
      </c>
      <c r="B13" s="1966" t="s">
        <v>1677</v>
      </c>
      <c r="C13" s="1967"/>
      <c r="D13" s="1967"/>
      <c r="E13" s="1967">
        <v>1</v>
      </c>
      <c r="F13" s="1973">
        <v>13721</v>
      </c>
      <c r="G13" s="1974">
        <v>2524.15</v>
      </c>
      <c r="H13" s="1974"/>
      <c r="I13" s="1974">
        <v>1100</v>
      </c>
      <c r="J13" s="1974"/>
      <c r="K13" s="1974">
        <v>686.05000000000007</v>
      </c>
      <c r="L13" s="1974">
        <v>2006</v>
      </c>
      <c r="M13" s="1974"/>
      <c r="N13" s="1974"/>
      <c r="O13" s="1974"/>
      <c r="P13" s="1974"/>
      <c r="Q13" s="1974"/>
      <c r="R13" s="1974"/>
      <c r="S13" s="1983">
        <v>13721</v>
      </c>
      <c r="T13" s="1983">
        <v>2524.15</v>
      </c>
      <c r="U13" s="1983">
        <v>3792.05</v>
      </c>
      <c r="V13" s="1983">
        <v>20037.2</v>
      </c>
      <c r="W13" s="1985">
        <v>164.65199999999999</v>
      </c>
      <c r="X13" s="1985">
        <v>30.2898</v>
      </c>
      <c r="Y13" s="1985">
        <v>45.504600000000003</v>
      </c>
      <c r="Z13" s="1985">
        <v>240.44640000000001</v>
      </c>
    </row>
    <row r="14" spans="1:26" s="1968" customFormat="1" ht="13.8">
      <c r="A14" s="1965">
        <v>6</v>
      </c>
      <c r="B14" s="1966" t="s">
        <v>1677</v>
      </c>
      <c r="C14" s="1967"/>
      <c r="D14" s="1967"/>
      <c r="E14" s="1967">
        <v>1</v>
      </c>
      <c r="F14" s="1973">
        <v>16609</v>
      </c>
      <c r="G14" s="1974">
        <v>3020.35</v>
      </c>
      <c r="H14" s="1974"/>
      <c r="I14" s="1974">
        <v>1100</v>
      </c>
      <c r="J14" s="1974"/>
      <c r="K14" s="1974">
        <v>2491.35</v>
      </c>
      <c r="L14" s="1974">
        <v>2428</v>
      </c>
      <c r="M14" s="1974"/>
      <c r="N14" s="1974"/>
      <c r="O14" s="1974"/>
      <c r="P14" s="1974"/>
      <c r="Q14" s="1974"/>
      <c r="R14" s="1974"/>
      <c r="S14" s="1983">
        <v>16609</v>
      </c>
      <c r="T14" s="1983">
        <v>3020.35</v>
      </c>
      <c r="U14" s="1983">
        <v>6019.35</v>
      </c>
      <c r="V14" s="1983">
        <v>25648.699999999997</v>
      </c>
      <c r="W14" s="1985">
        <v>199.30800000000002</v>
      </c>
      <c r="X14" s="1985">
        <v>36.244199999999999</v>
      </c>
      <c r="Y14" s="1985">
        <v>72.232200000000006</v>
      </c>
      <c r="Z14" s="1985">
        <v>307.78440000000001</v>
      </c>
    </row>
    <row r="15" spans="1:26" s="1968" customFormat="1" ht="13.8">
      <c r="A15" s="1965">
        <v>7</v>
      </c>
      <c r="B15" s="1966" t="s">
        <v>1739</v>
      </c>
      <c r="C15" s="1967"/>
      <c r="D15" s="1967"/>
      <c r="E15" s="1967">
        <v>1</v>
      </c>
      <c r="F15" s="1973">
        <v>15200</v>
      </c>
      <c r="G15" s="1974">
        <v>3478</v>
      </c>
      <c r="H15" s="1974"/>
      <c r="I15" s="1974"/>
      <c r="J15" s="1974"/>
      <c r="K15" s="1974">
        <v>2280</v>
      </c>
      <c r="L15" s="1974">
        <v>2190</v>
      </c>
      <c r="M15" s="1974"/>
      <c r="N15" s="1974"/>
      <c r="O15" s="1974"/>
      <c r="P15" s="1974"/>
      <c r="Q15" s="1974"/>
      <c r="R15" s="1974"/>
      <c r="S15" s="1983">
        <v>15200</v>
      </c>
      <c r="T15" s="1983">
        <v>3478</v>
      </c>
      <c r="U15" s="1983">
        <v>4470</v>
      </c>
      <c r="V15" s="1983">
        <v>23148</v>
      </c>
      <c r="W15" s="1985">
        <v>182.39999999999998</v>
      </c>
      <c r="X15" s="1985">
        <v>41.736000000000004</v>
      </c>
      <c r="Y15" s="1985">
        <v>53.64</v>
      </c>
      <c r="Z15" s="1985">
        <v>277.77599999999995</v>
      </c>
    </row>
    <row r="16" spans="1:26" s="1968" customFormat="1" ht="13.8" hidden="1">
      <c r="A16" s="1965"/>
      <c r="B16" s="1966"/>
      <c r="C16" s="1967"/>
      <c r="D16" s="1967"/>
      <c r="E16" s="1967"/>
      <c r="F16" s="1973"/>
      <c r="G16" s="1974">
        <v>0</v>
      </c>
      <c r="H16" s="1974"/>
      <c r="I16" s="1974"/>
      <c r="J16" s="1974"/>
      <c r="K16" s="1974"/>
      <c r="L16" s="1974"/>
      <c r="M16" s="1974"/>
      <c r="N16" s="1974"/>
      <c r="O16" s="1974"/>
      <c r="P16" s="1974"/>
      <c r="Q16" s="1974"/>
      <c r="R16" s="1974"/>
      <c r="S16" s="1983">
        <v>0</v>
      </c>
      <c r="T16" s="1983">
        <v>0</v>
      </c>
      <c r="U16" s="1983">
        <v>0</v>
      </c>
      <c r="V16" s="1983">
        <v>0</v>
      </c>
      <c r="W16" s="1985">
        <v>0</v>
      </c>
      <c r="X16" s="1985">
        <v>0</v>
      </c>
      <c r="Y16" s="1985">
        <v>0</v>
      </c>
      <c r="Z16" s="1985">
        <v>0</v>
      </c>
    </row>
    <row r="17" spans="1:29" s="1968" customFormat="1" ht="13.8" hidden="1">
      <c r="A17" s="1965"/>
      <c r="B17" s="1966"/>
      <c r="C17" s="1967"/>
      <c r="D17" s="1967"/>
      <c r="E17" s="1967"/>
      <c r="F17" s="1973"/>
      <c r="G17" s="1974">
        <v>0</v>
      </c>
      <c r="H17" s="1974"/>
      <c r="I17" s="1974"/>
      <c r="J17" s="1974"/>
      <c r="K17" s="1974"/>
      <c r="L17" s="1974"/>
      <c r="M17" s="1974"/>
      <c r="N17" s="1974"/>
      <c r="O17" s="1974"/>
      <c r="P17" s="1974"/>
      <c r="Q17" s="1974"/>
      <c r="R17" s="1974"/>
      <c r="S17" s="1983">
        <v>0</v>
      </c>
      <c r="T17" s="1983">
        <v>0</v>
      </c>
      <c r="U17" s="1983">
        <v>0</v>
      </c>
      <c r="V17" s="1983">
        <v>0</v>
      </c>
      <c r="W17" s="1985">
        <v>0</v>
      </c>
      <c r="X17" s="1985">
        <v>0</v>
      </c>
      <c r="Y17" s="1985">
        <v>0</v>
      </c>
      <c r="Z17" s="1985">
        <v>0</v>
      </c>
    </row>
    <row r="18" spans="1:29" s="1968" customFormat="1" ht="13.8" hidden="1">
      <c r="A18" s="1965"/>
      <c r="B18" s="1966"/>
      <c r="C18" s="1967"/>
      <c r="D18" s="1967"/>
      <c r="E18" s="1967"/>
      <c r="F18" s="1973"/>
      <c r="G18" s="1974">
        <v>0</v>
      </c>
      <c r="H18" s="1974"/>
      <c r="I18" s="1974"/>
      <c r="J18" s="1974"/>
      <c r="K18" s="1974"/>
      <c r="L18" s="1974"/>
      <c r="M18" s="1974"/>
      <c r="N18" s="1974"/>
      <c r="O18" s="1974"/>
      <c r="P18" s="1974"/>
      <c r="Q18" s="1974"/>
      <c r="R18" s="1974"/>
      <c r="S18" s="1983">
        <v>0</v>
      </c>
      <c r="T18" s="1983">
        <v>0</v>
      </c>
      <c r="U18" s="1983">
        <v>0</v>
      </c>
      <c r="V18" s="1983">
        <v>0</v>
      </c>
      <c r="W18" s="1985">
        <v>0</v>
      </c>
      <c r="X18" s="1985">
        <v>0</v>
      </c>
      <c r="Y18" s="1985">
        <v>0</v>
      </c>
      <c r="Z18" s="1985">
        <v>0</v>
      </c>
    </row>
    <row r="19" spans="1:29" s="1968" customFormat="1" ht="13.8" hidden="1">
      <c r="A19" s="1965"/>
      <c r="B19" s="1966"/>
      <c r="C19" s="1967"/>
      <c r="D19" s="1967"/>
      <c r="E19" s="1967"/>
      <c r="F19" s="1973"/>
      <c r="G19" s="1974">
        <v>0</v>
      </c>
      <c r="H19" s="1974"/>
      <c r="I19" s="1974"/>
      <c r="J19" s="1974"/>
      <c r="K19" s="1974"/>
      <c r="L19" s="1974"/>
      <c r="M19" s="1974"/>
      <c r="N19" s="1974"/>
      <c r="O19" s="1974"/>
      <c r="P19" s="1974"/>
      <c r="Q19" s="1974"/>
      <c r="R19" s="1974"/>
      <c r="S19" s="1983">
        <v>0</v>
      </c>
      <c r="T19" s="1983">
        <v>0</v>
      </c>
      <c r="U19" s="1983">
        <v>0</v>
      </c>
      <c r="V19" s="1983">
        <v>0</v>
      </c>
      <c r="W19" s="1985">
        <v>0</v>
      </c>
      <c r="X19" s="1985">
        <v>0</v>
      </c>
      <c r="Y19" s="1985">
        <v>0</v>
      </c>
      <c r="Z19" s="1985">
        <v>0</v>
      </c>
    </row>
    <row r="20" spans="1:29" s="1968" customFormat="1" ht="13.8" hidden="1">
      <c r="A20" s="1965"/>
      <c r="B20" s="1966"/>
      <c r="C20" s="1967"/>
      <c r="D20" s="1967"/>
      <c r="E20" s="1967"/>
      <c r="F20" s="1973"/>
      <c r="G20" s="1974">
        <v>0</v>
      </c>
      <c r="H20" s="1974"/>
      <c r="I20" s="1974"/>
      <c r="J20" s="1974"/>
      <c r="K20" s="1974"/>
      <c r="L20" s="1974"/>
      <c r="M20" s="1974"/>
      <c r="N20" s="1974"/>
      <c r="O20" s="1974"/>
      <c r="P20" s="1974"/>
      <c r="Q20" s="1974"/>
      <c r="R20" s="1974"/>
      <c r="S20" s="1983">
        <v>0</v>
      </c>
      <c r="T20" s="1983">
        <v>0</v>
      </c>
      <c r="U20" s="1983">
        <v>0</v>
      </c>
      <c r="V20" s="1983">
        <v>0</v>
      </c>
      <c r="W20" s="1985">
        <v>0</v>
      </c>
      <c r="X20" s="1985">
        <v>0</v>
      </c>
      <c r="Y20" s="1985">
        <v>0</v>
      </c>
      <c r="Z20" s="1985">
        <v>0</v>
      </c>
    </row>
    <row r="21" spans="1:29" s="1968" customFormat="1" ht="13.8" hidden="1">
      <c r="A21" s="1965"/>
      <c r="B21" s="1966"/>
      <c r="C21" s="1967"/>
      <c r="D21" s="1967"/>
      <c r="E21" s="1967"/>
      <c r="F21" s="1973"/>
      <c r="G21" s="1974">
        <v>0</v>
      </c>
      <c r="H21" s="1974"/>
      <c r="I21" s="1974"/>
      <c r="J21" s="1974"/>
      <c r="K21" s="1974"/>
      <c r="L21" s="1974"/>
      <c r="M21" s="1974"/>
      <c r="N21" s="1974"/>
      <c r="O21" s="1974"/>
      <c r="P21" s="1974"/>
      <c r="Q21" s="1974"/>
      <c r="R21" s="1974"/>
      <c r="S21" s="1983">
        <v>0</v>
      </c>
      <c r="T21" s="1983">
        <v>0</v>
      </c>
      <c r="U21" s="1983">
        <v>0</v>
      </c>
      <c r="V21" s="1983">
        <v>0</v>
      </c>
      <c r="W21" s="1985">
        <v>0</v>
      </c>
      <c r="X21" s="1985">
        <v>0</v>
      </c>
      <c r="Y21" s="1985">
        <v>0</v>
      </c>
      <c r="Z21" s="1985">
        <v>0</v>
      </c>
    </row>
    <row r="22" spans="1:29" s="1968" customFormat="1" ht="13.8" hidden="1">
      <c r="A22" s="1965"/>
      <c r="B22" s="1966"/>
      <c r="C22" s="1967"/>
      <c r="D22" s="1967"/>
      <c r="E22" s="1967"/>
      <c r="F22" s="1973"/>
      <c r="G22" s="1974">
        <v>0</v>
      </c>
      <c r="H22" s="1974"/>
      <c r="I22" s="1974"/>
      <c r="J22" s="1974"/>
      <c r="K22" s="1974"/>
      <c r="L22" s="1974"/>
      <c r="M22" s="1974"/>
      <c r="N22" s="1974"/>
      <c r="O22" s="1974"/>
      <c r="P22" s="1974"/>
      <c r="Q22" s="1974"/>
      <c r="R22" s="1974"/>
      <c r="S22" s="1983">
        <v>0</v>
      </c>
      <c r="T22" s="1983">
        <v>0</v>
      </c>
      <c r="U22" s="1983">
        <v>0</v>
      </c>
      <c r="V22" s="1983">
        <v>0</v>
      </c>
      <c r="W22" s="1985">
        <v>0</v>
      </c>
      <c r="X22" s="1985">
        <v>0</v>
      </c>
      <c r="Y22" s="1985">
        <v>0</v>
      </c>
      <c r="Z22" s="1985">
        <v>0</v>
      </c>
    </row>
    <row r="23" spans="1:29" s="1968" customFormat="1" ht="13.8" hidden="1">
      <c r="A23" s="1965"/>
      <c r="B23" s="1966"/>
      <c r="C23" s="1967"/>
      <c r="D23" s="1967"/>
      <c r="E23" s="1967"/>
      <c r="F23" s="1973"/>
      <c r="G23" s="1974">
        <v>0</v>
      </c>
      <c r="H23" s="1974"/>
      <c r="I23" s="1974"/>
      <c r="J23" s="1974"/>
      <c r="K23" s="1974"/>
      <c r="L23" s="1974"/>
      <c r="M23" s="1974"/>
      <c r="N23" s="1974"/>
      <c r="O23" s="1974"/>
      <c r="P23" s="1974"/>
      <c r="Q23" s="1974"/>
      <c r="R23" s="1974"/>
      <c r="S23" s="1983">
        <v>0</v>
      </c>
      <c r="T23" s="1983">
        <v>0</v>
      </c>
      <c r="U23" s="1983">
        <v>0</v>
      </c>
      <c r="V23" s="1983">
        <v>0</v>
      </c>
      <c r="W23" s="1985">
        <v>0</v>
      </c>
      <c r="X23" s="1985">
        <v>0</v>
      </c>
      <c r="Y23" s="1985">
        <v>0</v>
      </c>
      <c r="Z23" s="1985">
        <v>0</v>
      </c>
    </row>
    <row r="24" spans="1:29" s="1968" customFormat="1" ht="13.8" hidden="1">
      <c r="A24" s="1965"/>
      <c r="B24" s="1966"/>
      <c r="C24" s="1967"/>
      <c r="D24" s="1967"/>
      <c r="E24" s="1967"/>
      <c r="F24" s="1973"/>
      <c r="G24" s="1974">
        <v>0</v>
      </c>
      <c r="H24" s="1974"/>
      <c r="I24" s="1974"/>
      <c r="J24" s="1974"/>
      <c r="K24" s="1974"/>
      <c r="L24" s="1974"/>
      <c r="M24" s="1974"/>
      <c r="N24" s="1974"/>
      <c r="O24" s="1974"/>
      <c r="P24" s="1974"/>
      <c r="Q24" s="1974"/>
      <c r="R24" s="1974"/>
      <c r="S24" s="1983">
        <v>0</v>
      </c>
      <c r="T24" s="1983">
        <v>0</v>
      </c>
      <c r="U24" s="1983">
        <v>0</v>
      </c>
      <c r="V24" s="1983">
        <v>0</v>
      </c>
      <c r="W24" s="1985">
        <v>0</v>
      </c>
      <c r="X24" s="1985">
        <v>0</v>
      </c>
      <c r="Y24" s="1985">
        <v>0</v>
      </c>
      <c r="Z24" s="1985">
        <v>0</v>
      </c>
    </row>
    <row r="25" spans="1:29" s="1968" customFormat="1" ht="13.8" hidden="1">
      <c r="A25" s="1965"/>
      <c r="B25" s="1966"/>
      <c r="C25" s="1967"/>
      <c r="D25" s="1967"/>
      <c r="E25" s="1967"/>
      <c r="F25" s="1973"/>
      <c r="G25" s="1974">
        <v>0</v>
      </c>
      <c r="H25" s="1974"/>
      <c r="I25" s="1974"/>
      <c r="J25" s="1974"/>
      <c r="K25" s="1974"/>
      <c r="L25" s="1974"/>
      <c r="M25" s="1974"/>
      <c r="N25" s="1974"/>
      <c r="O25" s="1974"/>
      <c r="P25" s="1974"/>
      <c r="Q25" s="1974"/>
      <c r="R25" s="1974"/>
      <c r="S25" s="1983">
        <v>0</v>
      </c>
      <c r="T25" s="1983">
        <v>0</v>
      </c>
      <c r="U25" s="1983">
        <v>0</v>
      </c>
      <c r="V25" s="1983">
        <v>0</v>
      </c>
      <c r="W25" s="1985">
        <v>0</v>
      </c>
      <c r="X25" s="1985">
        <v>0</v>
      </c>
      <c r="Y25" s="1985">
        <v>0</v>
      </c>
      <c r="Z25" s="1985">
        <v>0</v>
      </c>
    </row>
    <row r="26" spans="1:29" s="1968" customFormat="1" ht="13.8" hidden="1">
      <c r="A26" s="1965"/>
      <c r="B26" s="1966"/>
      <c r="C26" s="1967"/>
      <c r="D26" s="1967"/>
      <c r="E26" s="1967"/>
      <c r="F26" s="1973"/>
      <c r="G26" s="1974">
        <v>0</v>
      </c>
      <c r="H26" s="1974"/>
      <c r="I26" s="1974"/>
      <c r="J26" s="1974"/>
      <c r="K26" s="1974"/>
      <c r="L26" s="1974"/>
      <c r="M26" s="1974"/>
      <c r="N26" s="1974"/>
      <c r="O26" s="1974"/>
      <c r="P26" s="1974"/>
      <c r="Q26" s="1974"/>
      <c r="R26" s="1974"/>
      <c r="S26" s="1983">
        <v>0</v>
      </c>
      <c r="T26" s="1983">
        <v>0</v>
      </c>
      <c r="U26" s="1983">
        <v>0</v>
      </c>
      <c r="V26" s="1983">
        <v>0</v>
      </c>
      <c r="W26" s="1985">
        <v>0</v>
      </c>
      <c r="X26" s="1985">
        <v>0</v>
      </c>
      <c r="Y26" s="1985">
        <v>0</v>
      </c>
      <c r="Z26" s="1985">
        <v>0</v>
      </c>
    </row>
    <row r="27" spans="1:29" s="1968" customFormat="1" ht="13.8" hidden="1">
      <c r="A27" s="1965"/>
      <c r="B27" s="1966"/>
      <c r="C27" s="1967"/>
      <c r="D27" s="1967"/>
      <c r="E27" s="1967"/>
      <c r="F27" s="1973"/>
      <c r="G27" s="1974">
        <v>0</v>
      </c>
      <c r="H27" s="1974"/>
      <c r="I27" s="1974"/>
      <c r="J27" s="1974"/>
      <c r="K27" s="1974"/>
      <c r="L27" s="1974"/>
      <c r="M27" s="1974"/>
      <c r="N27" s="1974"/>
      <c r="O27" s="1974"/>
      <c r="P27" s="1974"/>
      <c r="Q27" s="1974"/>
      <c r="R27" s="1974"/>
      <c r="S27" s="1983">
        <v>0</v>
      </c>
      <c r="T27" s="1983">
        <v>0</v>
      </c>
      <c r="U27" s="1983">
        <v>0</v>
      </c>
      <c r="V27" s="1983">
        <v>0</v>
      </c>
      <c r="W27" s="1985">
        <v>0</v>
      </c>
      <c r="X27" s="1985">
        <v>0</v>
      </c>
      <c r="Y27" s="1985">
        <v>0</v>
      </c>
      <c r="Z27" s="1985">
        <v>0</v>
      </c>
    </row>
    <row r="28" spans="1:29" s="1968" customFormat="1" ht="13.8" hidden="1">
      <c r="A28" s="1965"/>
      <c r="B28" s="1966"/>
      <c r="C28" s="1967"/>
      <c r="D28" s="1967"/>
      <c r="E28" s="1967"/>
      <c r="F28" s="1973"/>
      <c r="G28" s="1974">
        <v>0</v>
      </c>
      <c r="H28" s="1974"/>
      <c r="I28" s="1974"/>
      <c r="J28" s="1974"/>
      <c r="K28" s="1974"/>
      <c r="L28" s="1974"/>
      <c r="M28" s="1974"/>
      <c r="N28" s="1974"/>
      <c r="O28" s="1974"/>
      <c r="P28" s="1974"/>
      <c r="Q28" s="1974"/>
      <c r="R28" s="1974"/>
      <c r="S28" s="1983">
        <v>0</v>
      </c>
      <c r="T28" s="1983">
        <v>0</v>
      </c>
      <c r="U28" s="1983">
        <v>0</v>
      </c>
      <c r="V28" s="1983">
        <v>0</v>
      </c>
      <c r="W28" s="1985">
        <v>0</v>
      </c>
      <c r="X28" s="1985">
        <v>0</v>
      </c>
      <c r="Y28" s="1985">
        <v>0</v>
      </c>
      <c r="Z28" s="1985">
        <v>0</v>
      </c>
    </row>
    <row r="29" spans="1:29" s="1968" customFormat="1" ht="13.8" hidden="1">
      <c r="A29" s="1965"/>
      <c r="B29" s="1966"/>
      <c r="C29" s="1967"/>
      <c r="D29" s="1967"/>
      <c r="E29" s="1967"/>
      <c r="F29" s="1973"/>
      <c r="G29" s="1974">
        <v>0</v>
      </c>
      <c r="H29" s="1974"/>
      <c r="I29" s="1974"/>
      <c r="J29" s="1974"/>
      <c r="K29" s="1974"/>
      <c r="L29" s="1974"/>
      <c r="M29" s="1974"/>
      <c r="N29" s="1974"/>
      <c r="O29" s="1974"/>
      <c r="P29" s="1974"/>
      <c r="Q29" s="1974"/>
      <c r="R29" s="1974"/>
      <c r="S29" s="1983">
        <v>0</v>
      </c>
      <c r="T29" s="1983">
        <v>0</v>
      </c>
      <c r="U29" s="1983">
        <v>0</v>
      </c>
      <c r="V29" s="1983">
        <v>0</v>
      </c>
      <c r="W29" s="1985">
        <v>0</v>
      </c>
      <c r="X29" s="1985">
        <v>0</v>
      </c>
      <c r="Y29" s="1985">
        <v>0</v>
      </c>
      <c r="Z29" s="1985">
        <v>0</v>
      </c>
    </row>
    <row r="30" spans="1:29" s="1968" customFormat="1" ht="13.8" hidden="1">
      <c r="A30" s="1965"/>
      <c r="B30" s="1966"/>
      <c r="C30" s="1967"/>
      <c r="D30" s="1967"/>
      <c r="E30" s="1967"/>
      <c r="F30" s="1973"/>
      <c r="G30" s="1974">
        <v>0</v>
      </c>
      <c r="H30" s="1974"/>
      <c r="I30" s="1974"/>
      <c r="J30" s="1974"/>
      <c r="K30" s="1974"/>
      <c r="L30" s="1974"/>
      <c r="M30" s="1974"/>
      <c r="N30" s="1974"/>
      <c r="O30" s="1974"/>
      <c r="P30" s="1974"/>
      <c r="Q30" s="1974"/>
      <c r="R30" s="1974"/>
      <c r="S30" s="1983">
        <v>0</v>
      </c>
      <c r="T30" s="1983">
        <v>0</v>
      </c>
      <c r="U30" s="1983">
        <v>0</v>
      </c>
      <c r="V30" s="1983">
        <v>0</v>
      </c>
      <c r="W30" s="1985">
        <v>0</v>
      </c>
      <c r="X30" s="1985">
        <v>0</v>
      </c>
      <c r="Y30" s="1985">
        <v>0</v>
      </c>
      <c r="Z30" s="1985">
        <v>0</v>
      </c>
    </row>
    <row r="31" spans="1:29" s="1968" customFormat="1" ht="13.8" hidden="1">
      <c r="A31" s="1965"/>
      <c r="B31" s="1966"/>
      <c r="C31" s="1967"/>
      <c r="D31" s="1967"/>
      <c r="E31" s="1967"/>
      <c r="F31" s="1973"/>
      <c r="G31" s="1974">
        <v>0</v>
      </c>
      <c r="H31" s="1974"/>
      <c r="I31" s="1974"/>
      <c r="J31" s="1974"/>
      <c r="K31" s="1974"/>
      <c r="L31" s="1974"/>
      <c r="M31" s="1974"/>
      <c r="N31" s="1974"/>
      <c r="O31" s="1974"/>
      <c r="P31" s="1974"/>
      <c r="Q31" s="1974"/>
      <c r="R31" s="1974"/>
      <c r="S31" s="1983">
        <v>0</v>
      </c>
      <c r="T31" s="1983">
        <v>0</v>
      </c>
      <c r="U31" s="1983">
        <v>0</v>
      </c>
      <c r="V31" s="1983">
        <v>0</v>
      </c>
      <c r="W31" s="1985">
        <v>0</v>
      </c>
      <c r="X31" s="1985">
        <v>0</v>
      </c>
      <c r="Y31" s="1985">
        <v>0</v>
      </c>
      <c r="Z31" s="1985">
        <v>0</v>
      </c>
    </row>
    <row r="32" spans="1:29" s="2099" customFormat="1" ht="21" customHeight="1">
      <c r="A32" s="2094"/>
      <c r="B32" s="2094" t="s">
        <v>1674</v>
      </c>
      <c r="C32" s="2094"/>
      <c r="D32" s="2094"/>
      <c r="E32" s="2094">
        <v>7</v>
      </c>
      <c r="F32" s="2095">
        <v>103096</v>
      </c>
      <c r="G32" s="2095">
        <v>19579.400000000001</v>
      </c>
      <c r="H32" s="2095">
        <v>0</v>
      </c>
      <c r="I32" s="2095">
        <v>6600</v>
      </c>
      <c r="J32" s="2095">
        <v>0</v>
      </c>
      <c r="K32" s="2095">
        <v>11900.05</v>
      </c>
      <c r="L32" s="2095">
        <v>15040</v>
      </c>
      <c r="M32" s="2095"/>
      <c r="N32" s="2095"/>
      <c r="O32" s="2095"/>
      <c r="P32" s="2095"/>
      <c r="Q32" s="2095"/>
      <c r="R32" s="2095"/>
      <c r="S32" s="2096">
        <v>103096</v>
      </c>
      <c r="T32" s="2096">
        <v>19579.400000000001</v>
      </c>
      <c r="U32" s="2096">
        <v>33540.050000000003</v>
      </c>
      <c r="V32" s="2096">
        <v>156215.45000000001</v>
      </c>
      <c r="W32" s="2097">
        <v>1237.152</v>
      </c>
      <c r="X32" s="2097">
        <v>234.95280000000002</v>
      </c>
      <c r="Y32" s="2097">
        <v>402.48059999999998</v>
      </c>
      <c r="Z32" s="2097">
        <v>1874.5853999999999</v>
      </c>
      <c r="AA32" s="2092">
        <v>156215.44999999998</v>
      </c>
      <c r="AB32" s="2121">
        <v>1874.5854000000002</v>
      </c>
      <c r="AC32" s="2098"/>
    </row>
    <row r="33" spans="1:26" s="1968" customFormat="1" ht="27.6">
      <c r="A33" s="1965"/>
      <c r="B33" s="1966" t="s">
        <v>861</v>
      </c>
      <c r="C33" s="1967"/>
      <c r="D33" s="1967"/>
      <c r="E33" s="1967" t="s">
        <v>225</v>
      </c>
      <c r="F33" s="1973"/>
      <c r="G33" s="1974"/>
      <c r="H33" s="1974"/>
      <c r="I33" s="1974"/>
      <c r="J33" s="1974"/>
      <c r="K33" s="1974"/>
      <c r="L33" s="1974"/>
      <c r="M33" s="1974"/>
      <c r="N33" s="1974"/>
      <c r="O33" s="1974"/>
      <c r="P33" s="1974"/>
      <c r="Q33" s="1974"/>
      <c r="R33" s="1974"/>
      <c r="S33" s="1983" t="e">
        <v>#VALUE!</v>
      </c>
      <c r="T33" s="1983" t="e">
        <v>#VALUE!</v>
      </c>
      <c r="U33" s="1983" t="e">
        <v>#VALUE!</v>
      </c>
      <c r="V33" s="1983"/>
      <c r="W33" s="2119">
        <v>14728</v>
      </c>
      <c r="X33" s="1985"/>
      <c r="Y33" s="1985"/>
      <c r="Z33" s="1985"/>
    </row>
    <row r="34" spans="1:26" s="1968" customFormat="1" ht="13.8">
      <c r="A34" s="1965"/>
      <c r="B34" s="1966" t="s">
        <v>1753</v>
      </c>
      <c r="C34" s="1967"/>
      <c r="D34" s="1967"/>
      <c r="E34" s="1967" t="s">
        <v>87</v>
      </c>
      <c r="F34" s="1973"/>
      <c r="G34" s="1974"/>
      <c r="H34" s="1974"/>
      <c r="I34" s="1974"/>
      <c r="J34" s="1974"/>
      <c r="K34" s="1974"/>
      <c r="L34" s="1974"/>
      <c r="M34" s="1974"/>
      <c r="N34" s="1974"/>
      <c r="O34" s="1974"/>
      <c r="P34" s="1974"/>
      <c r="Q34" s="1974"/>
      <c r="R34" s="1974"/>
      <c r="S34" s="1983" t="e">
        <v>#VALUE!</v>
      </c>
      <c r="T34" s="1983" t="e">
        <v>#VALUE!</v>
      </c>
      <c r="U34" s="1983" t="e">
        <v>#VALUE!</v>
      </c>
      <c r="V34" s="1983"/>
      <c r="W34" s="2119"/>
      <c r="X34" s="2120">
        <v>0.18991425467525413</v>
      </c>
      <c r="Y34" s="2120">
        <v>0.32532833475595557</v>
      </c>
      <c r="Z34" s="1985"/>
    </row>
    <row r="35" spans="1:26" ht="42" customHeight="1"/>
    <row r="36" spans="1:26">
      <c r="A36" s="51"/>
    </row>
    <row r="37" spans="1:26">
      <c r="A37" s="51"/>
    </row>
    <row r="56" spans="6:6">
      <c r="F56" s="1956"/>
    </row>
  </sheetData>
  <mergeCells count="16">
    <mergeCell ref="F5:R5"/>
    <mergeCell ref="F6:F7"/>
    <mergeCell ref="G6:G7"/>
    <mergeCell ref="V5:V7"/>
    <mergeCell ref="A5:A7"/>
    <mergeCell ref="B5:B7"/>
    <mergeCell ref="C5:C7"/>
    <mergeCell ref="D5:D7"/>
    <mergeCell ref="E5:E7"/>
    <mergeCell ref="Y6:Y7"/>
    <mergeCell ref="Z6:Z7"/>
    <mergeCell ref="S6:S7"/>
    <mergeCell ref="T6:T7"/>
    <mergeCell ref="U6:U7"/>
    <mergeCell ref="W6:W7"/>
    <mergeCell ref="X6:X7"/>
  </mergeCells>
  <printOptions horizontalCentered="1"/>
  <pageMargins left="0.78740157480314965" right="0.78740157480314965" top="0.59055118110236227" bottom="0.11811023622047245" header="0.51181102362204722" footer="3.937007874015748E-2"/>
  <pageSetup paperSize="9" scale="95" pageOrder="overThenDown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 enableFormatConditionsCalculation="0">
    <tabColor rgb="FF7030A0"/>
  </sheetPr>
  <dimension ref="A1:M54"/>
  <sheetViews>
    <sheetView workbookViewId="0">
      <pane ySplit="7" topLeftCell="A43" activePane="bottomLeft" state="frozen"/>
      <selection activeCell="C28" sqref="C28:C30"/>
      <selection pane="bottomLeft" activeCell="C28" sqref="C28:C30"/>
    </sheetView>
  </sheetViews>
  <sheetFormatPr defaultColWidth="9.109375" defaultRowHeight="13.2"/>
  <cols>
    <col min="1" max="1" width="6.44140625" style="6" customWidth="1"/>
    <col min="2" max="2" width="36.109375" style="6" customWidth="1"/>
    <col min="3" max="3" width="8.5546875" style="6" customWidth="1"/>
    <col min="4" max="4" width="17.33203125" style="6" customWidth="1"/>
    <col min="5" max="5" width="18.6640625" style="6" customWidth="1"/>
    <col min="6" max="16384" width="9.109375" style="6"/>
  </cols>
  <sheetData>
    <row r="1" spans="1:6">
      <c r="E1" s="7" t="s">
        <v>310</v>
      </c>
    </row>
    <row r="2" spans="1:6" ht="15.6">
      <c r="A2" s="57" t="s">
        <v>237</v>
      </c>
      <c r="B2" s="57"/>
      <c r="C2" s="57"/>
      <c r="D2" s="57"/>
      <c r="E2" s="57"/>
      <c r="F2" s="17"/>
    </row>
    <row r="3" spans="1:6" ht="15.6">
      <c r="A3" s="57" t="s">
        <v>74</v>
      </c>
      <c r="B3" s="57"/>
      <c r="C3" s="57"/>
      <c r="D3" s="57"/>
      <c r="E3" s="57"/>
      <c r="F3" s="57"/>
    </row>
    <row r="4" spans="1:6" ht="15.6">
      <c r="A4" s="57" t="s">
        <v>1824</v>
      </c>
      <c r="B4" s="57"/>
      <c r="C4" s="57"/>
      <c r="D4" s="57"/>
      <c r="E4" s="57"/>
      <c r="F4" s="57"/>
    </row>
    <row r="5" spans="1:6" ht="13.8">
      <c r="A5" s="36"/>
      <c r="B5" s="36"/>
      <c r="C5" s="36"/>
      <c r="D5" s="764"/>
      <c r="E5" s="765"/>
      <c r="F5" s="120"/>
    </row>
    <row r="6" spans="1:6" s="4" customFormat="1" ht="26.4">
      <c r="A6" s="10" t="s">
        <v>311</v>
      </c>
      <c r="B6" s="10" t="s">
        <v>312</v>
      </c>
      <c r="C6" s="10" t="s">
        <v>313</v>
      </c>
      <c r="D6" s="10" t="s">
        <v>309</v>
      </c>
      <c r="E6" s="10" t="s">
        <v>274</v>
      </c>
    </row>
    <row r="7" spans="1:6" s="4" customFormat="1">
      <c r="A7" s="10">
        <v>1</v>
      </c>
      <c r="B7" s="11">
        <v>2</v>
      </c>
      <c r="C7" s="11">
        <v>3</v>
      </c>
      <c r="D7" s="11">
        <v>4</v>
      </c>
      <c r="E7" s="11">
        <v>5</v>
      </c>
    </row>
    <row r="8" spans="1:6">
      <c r="A8" s="2" t="s">
        <v>314</v>
      </c>
      <c r="B8" s="5" t="s">
        <v>315</v>
      </c>
      <c r="C8" s="11"/>
      <c r="D8" s="121"/>
      <c r="E8" s="121"/>
    </row>
    <row r="9" spans="1:6">
      <c r="A9" s="2"/>
      <c r="B9" s="5" t="s">
        <v>316</v>
      </c>
      <c r="C9" s="11" t="s">
        <v>317</v>
      </c>
      <c r="D9" s="122"/>
      <c r="E9" s="122">
        <v>0</v>
      </c>
    </row>
    <row r="10" spans="1:6">
      <c r="A10" s="2" t="s">
        <v>318</v>
      </c>
      <c r="B10" s="5" t="s">
        <v>319</v>
      </c>
      <c r="C10" s="11"/>
      <c r="D10" s="122"/>
      <c r="E10" s="122"/>
    </row>
    <row r="11" spans="1:6" ht="16.5" customHeight="1">
      <c r="A11" s="2" t="s">
        <v>320</v>
      </c>
      <c r="B11" s="5" t="s">
        <v>321</v>
      </c>
      <c r="C11" s="11" t="s">
        <v>322</v>
      </c>
      <c r="D11" s="121"/>
      <c r="E11" s="121"/>
    </row>
    <row r="12" spans="1:6">
      <c r="A12" s="2" t="s">
        <v>323</v>
      </c>
      <c r="B12" s="5" t="s">
        <v>324</v>
      </c>
      <c r="C12" s="11"/>
      <c r="D12" s="121">
        <v>1</v>
      </c>
      <c r="E12" s="218">
        <v>1.06</v>
      </c>
    </row>
    <row r="13" spans="1:6" ht="26.4">
      <c r="A13" s="2" t="s">
        <v>325</v>
      </c>
      <c r="B13" s="5" t="s">
        <v>326</v>
      </c>
      <c r="C13" s="11" t="s">
        <v>322</v>
      </c>
      <c r="D13" s="121"/>
      <c r="E13" s="121"/>
    </row>
    <row r="14" spans="1:6">
      <c r="A14" s="2" t="s">
        <v>327</v>
      </c>
      <c r="B14" s="5" t="s">
        <v>328</v>
      </c>
      <c r="C14" s="11"/>
      <c r="D14" s="216"/>
      <c r="E14" s="216"/>
    </row>
    <row r="15" spans="1:6" ht="30" customHeight="1">
      <c r="A15" s="2" t="s">
        <v>329</v>
      </c>
      <c r="B15" s="5" t="s">
        <v>330</v>
      </c>
      <c r="C15" s="11" t="s">
        <v>322</v>
      </c>
      <c r="D15" s="121"/>
      <c r="E15" s="121"/>
    </row>
    <row r="16" spans="1:6">
      <c r="A16" s="2" t="s">
        <v>331</v>
      </c>
      <c r="B16" s="5" t="s">
        <v>332</v>
      </c>
      <c r="C16" s="11" t="s">
        <v>333</v>
      </c>
      <c r="D16" s="217"/>
      <c r="E16" s="217">
        <v>0</v>
      </c>
    </row>
    <row r="17" spans="1:11" ht="26.25" customHeight="1">
      <c r="A17" s="2" t="s">
        <v>334</v>
      </c>
      <c r="B17" s="5" t="s">
        <v>244</v>
      </c>
      <c r="C17" s="11"/>
      <c r="D17" s="5"/>
      <c r="E17" s="5"/>
    </row>
    <row r="18" spans="1:11" ht="14.25" customHeight="1">
      <c r="A18" s="2" t="s">
        <v>0</v>
      </c>
      <c r="B18" s="5" t="s">
        <v>1</v>
      </c>
      <c r="C18" s="11" t="s">
        <v>281</v>
      </c>
      <c r="D18" s="20"/>
      <c r="E18" s="20">
        <v>0</v>
      </c>
    </row>
    <row r="19" spans="1:11" ht="13.5" customHeight="1">
      <c r="A19" s="2" t="s">
        <v>2</v>
      </c>
      <c r="B19" s="5" t="s">
        <v>3</v>
      </c>
      <c r="C19" s="11" t="s">
        <v>322</v>
      </c>
      <c r="D19" s="60">
        <v>0</v>
      </c>
      <c r="E19" s="115">
        <v>0</v>
      </c>
    </row>
    <row r="20" spans="1:11">
      <c r="A20" s="2" t="s">
        <v>4</v>
      </c>
      <c r="B20" s="5" t="s">
        <v>230</v>
      </c>
      <c r="C20" s="11"/>
      <c r="D20" s="5"/>
      <c r="E20" s="5"/>
    </row>
    <row r="21" spans="1:11" ht="15" customHeight="1">
      <c r="A21" s="2" t="s">
        <v>5</v>
      </c>
      <c r="B21" s="5" t="s">
        <v>1</v>
      </c>
      <c r="C21" s="11" t="s">
        <v>281</v>
      </c>
      <c r="D21" s="20"/>
      <c r="E21" s="20">
        <v>0</v>
      </c>
    </row>
    <row r="22" spans="1:11" ht="14.25" customHeight="1">
      <c r="A22" s="2" t="s">
        <v>6</v>
      </c>
      <c r="B22" s="5" t="s">
        <v>3</v>
      </c>
      <c r="C22" s="11" t="s">
        <v>322</v>
      </c>
      <c r="D22" s="60">
        <v>0</v>
      </c>
      <c r="E22" s="60">
        <v>0</v>
      </c>
    </row>
    <row r="23" spans="1:11">
      <c r="A23" s="2" t="s">
        <v>7</v>
      </c>
      <c r="B23" s="5" t="s">
        <v>8</v>
      </c>
      <c r="C23" s="11"/>
      <c r="D23" s="5"/>
      <c r="E23" s="5"/>
    </row>
    <row r="24" spans="1:11" ht="14.25" customHeight="1">
      <c r="A24" s="2" t="s">
        <v>9</v>
      </c>
      <c r="B24" s="5" t="s">
        <v>1</v>
      </c>
      <c r="C24" s="11" t="s">
        <v>281</v>
      </c>
      <c r="D24" s="75">
        <v>0</v>
      </c>
      <c r="E24" s="75">
        <v>0</v>
      </c>
    </row>
    <row r="25" spans="1:11" ht="14.25" customHeight="1">
      <c r="A25" s="2" t="s">
        <v>10</v>
      </c>
      <c r="B25" s="5" t="s">
        <v>3</v>
      </c>
      <c r="C25" s="11" t="s">
        <v>322</v>
      </c>
      <c r="D25" s="75">
        <v>0</v>
      </c>
      <c r="E25" s="75">
        <v>0</v>
      </c>
    </row>
    <row r="26" spans="1:11" ht="14.25" customHeight="1">
      <c r="A26" s="2" t="s">
        <v>11</v>
      </c>
      <c r="B26" s="5" t="s">
        <v>12</v>
      </c>
      <c r="C26" s="11"/>
      <c r="D26" s="5"/>
      <c r="E26" s="5"/>
    </row>
    <row r="27" spans="1:11" ht="12.75" customHeight="1">
      <c r="A27" s="2" t="s">
        <v>13</v>
      </c>
      <c r="B27" s="5" t="s">
        <v>1</v>
      </c>
      <c r="C27" s="11" t="s">
        <v>281</v>
      </c>
      <c r="D27" s="75"/>
      <c r="E27" s="75">
        <v>0</v>
      </c>
    </row>
    <row r="28" spans="1:11" ht="13.5" customHeight="1">
      <c r="A28" s="2" t="s">
        <v>14</v>
      </c>
      <c r="B28" s="5" t="s">
        <v>3</v>
      </c>
      <c r="C28" s="11" t="s">
        <v>322</v>
      </c>
      <c r="D28" s="75">
        <v>0</v>
      </c>
      <c r="E28" s="75">
        <v>0</v>
      </c>
    </row>
    <row r="29" spans="1:11" ht="27" customHeight="1">
      <c r="A29" s="2" t="s">
        <v>15</v>
      </c>
      <c r="B29" s="5" t="s">
        <v>245</v>
      </c>
      <c r="C29" s="11"/>
      <c r="D29" s="5"/>
      <c r="E29" s="5"/>
      <c r="H29" s="6" t="s">
        <v>169</v>
      </c>
    </row>
    <row r="30" spans="1:11" ht="15" customHeight="1">
      <c r="A30" s="2" t="s">
        <v>16</v>
      </c>
      <c r="B30" s="5" t="s">
        <v>1</v>
      </c>
      <c r="C30" s="11" t="s">
        <v>281</v>
      </c>
      <c r="D30" s="5"/>
      <c r="E30" s="5"/>
    </row>
    <row r="31" spans="1:11" ht="15" customHeight="1">
      <c r="A31" s="2" t="s">
        <v>17</v>
      </c>
      <c r="B31" s="5" t="s">
        <v>3</v>
      </c>
      <c r="C31" s="11" t="s">
        <v>322</v>
      </c>
      <c r="D31" s="5"/>
      <c r="E31" s="5"/>
      <c r="I31" s="116"/>
      <c r="J31" s="116"/>
      <c r="K31" s="117"/>
    </row>
    <row r="32" spans="1:11" ht="26.4">
      <c r="A32" s="2" t="s">
        <v>18</v>
      </c>
      <c r="B32" s="5" t="s">
        <v>19</v>
      </c>
      <c r="C32" s="11" t="s">
        <v>322</v>
      </c>
      <c r="D32" s="60">
        <v>0</v>
      </c>
      <c r="E32" s="60">
        <v>0</v>
      </c>
      <c r="H32" s="114" t="e">
        <v>#DIV/0!</v>
      </c>
      <c r="I32" s="116"/>
      <c r="J32" s="118"/>
      <c r="K32" s="117"/>
    </row>
    <row r="33" spans="1:13" ht="27" customHeight="1">
      <c r="A33" s="2" t="s">
        <v>20</v>
      </c>
      <c r="B33" s="5" t="s">
        <v>21</v>
      </c>
      <c r="C33" s="11"/>
      <c r="D33" s="5"/>
      <c r="E33" s="5"/>
    </row>
    <row r="34" spans="1:13" ht="14.25" customHeight="1">
      <c r="A34" s="2" t="s">
        <v>22</v>
      </c>
      <c r="B34" s="5" t="s">
        <v>23</v>
      </c>
      <c r="C34" s="11" t="s">
        <v>24</v>
      </c>
      <c r="D34" s="5"/>
      <c r="E34" s="5"/>
    </row>
    <row r="35" spans="1:13" ht="15.75" customHeight="1">
      <c r="A35" s="2" t="s">
        <v>25</v>
      </c>
      <c r="B35" s="5" t="s">
        <v>26</v>
      </c>
      <c r="C35" s="11" t="s">
        <v>333</v>
      </c>
      <c r="D35" s="5"/>
      <c r="E35" s="5"/>
    </row>
    <row r="36" spans="1:13" ht="14.25" customHeight="1">
      <c r="A36" s="2" t="s">
        <v>27</v>
      </c>
      <c r="B36" s="5" t="s">
        <v>28</v>
      </c>
      <c r="C36" s="11" t="s">
        <v>333</v>
      </c>
      <c r="D36" s="5"/>
      <c r="E36" s="5"/>
    </row>
    <row r="37" spans="1:13" ht="39.75" customHeight="1">
      <c r="A37" s="2" t="s">
        <v>29</v>
      </c>
      <c r="B37" s="5" t="s">
        <v>30</v>
      </c>
      <c r="C37" s="11"/>
      <c r="D37" s="5"/>
      <c r="E37" s="5"/>
    </row>
    <row r="38" spans="1:13" ht="27" customHeight="1">
      <c r="A38" s="2" t="s">
        <v>31</v>
      </c>
      <c r="B38" s="5" t="s">
        <v>32</v>
      </c>
      <c r="C38" s="11" t="s">
        <v>317</v>
      </c>
      <c r="D38" s="5"/>
      <c r="E38" s="5"/>
    </row>
    <row r="39" spans="1:13" ht="26.4">
      <c r="A39" s="2" t="s">
        <v>33</v>
      </c>
      <c r="B39" s="5" t="s">
        <v>34</v>
      </c>
      <c r="C39" s="11" t="s">
        <v>322</v>
      </c>
      <c r="D39" s="5"/>
      <c r="E39" s="5"/>
    </row>
    <row r="40" spans="1:13" ht="15.75" customHeight="1">
      <c r="A40" s="2" t="s">
        <v>35</v>
      </c>
      <c r="B40" s="5" t="s">
        <v>36</v>
      </c>
      <c r="C40" s="11" t="s">
        <v>24</v>
      </c>
      <c r="D40" s="5"/>
      <c r="E40" s="5"/>
    </row>
    <row r="41" spans="1:13" ht="16.5" customHeight="1">
      <c r="A41" s="2" t="s">
        <v>37</v>
      </c>
      <c r="B41" s="5" t="s">
        <v>38</v>
      </c>
      <c r="C41" s="11" t="s">
        <v>24</v>
      </c>
      <c r="D41" s="5"/>
      <c r="E41" s="5"/>
    </row>
    <row r="42" spans="1:13" ht="25.5" customHeight="1">
      <c r="A42" s="1" t="s">
        <v>39</v>
      </c>
      <c r="B42" s="18" t="s">
        <v>40</v>
      </c>
      <c r="C42" s="9" t="s">
        <v>24</v>
      </c>
      <c r="D42" s="18"/>
      <c r="E42" s="18"/>
    </row>
    <row r="43" spans="1:13">
      <c r="A43" s="1" t="s">
        <v>41</v>
      </c>
      <c r="B43" s="18" t="s">
        <v>42</v>
      </c>
      <c r="C43" s="9"/>
      <c r="D43" s="18"/>
      <c r="E43" s="18"/>
    </row>
    <row r="44" spans="1:13" ht="26.4">
      <c r="A44" s="1" t="s">
        <v>43</v>
      </c>
      <c r="B44" s="18" t="s">
        <v>44</v>
      </c>
      <c r="C44" s="9" t="s">
        <v>317</v>
      </c>
      <c r="D44" s="499">
        <v>0</v>
      </c>
      <c r="E44" s="499">
        <v>0</v>
      </c>
    </row>
    <row r="45" spans="1:13" ht="15.75" customHeight="1">
      <c r="A45" s="2" t="s">
        <v>45</v>
      </c>
      <c r="B45" s="5" t="s">
        <v>46</v>
      </c>
      <c r="C45" s="11" t="s">
        <v>322</v>
      </c>
      <c r="D45" s="60">
        <v>0</v>
      </c>
      <c r="E45" s="60">
        <v>0</v>
      </c>
    </row>
    <row r="46" spans="1:13">
      <c r="A46" s="2" t="s">
        <v>47</v>
      </c>
      <c r="B46" s="5" t="s">
        <v>48</v>
      </c>
      <c r="C46" s="95" t="s">
        <v>173</v>
      </c>
      <c r="D46" s="39">
        <v>0</v>
      </c>
      <c r="E46" s="39">
        <v>0</v>
      </c>
      <c r="K46" s="206"/>
      <c r="L46" s="207"/>
      <c r="M46" s="120"/>
    </row>
    <row r="47" spans="1:13">
      <c r="A47" s="2" t="s">
        <v>49</v>
      </c>
      <c r="B47" s="5" t="s">
        <v>50</v>
      </c>
      <c r="C47" s="95" t="s">
        <v>173</v>
      </c>
      <c r="D47" s="76">
        <v>0</v>
      </c>
      <c r="E47" s="76">
        <v>0</v>
      </c>
      <c r="H47" s="77">
        <v>0</v>
      </c>
      <c r="I47" s="77">
        <v>0</v>
      </c>
      <c r="K47" s="208"/>
      <c r="L47" s="207"/>
      <c r="M47" s="120"/>
    </row>
    <row r="48" spans="1:13">
      <c r="A48" s="2" t="s">
        <v>51</v>
      </c>
      <c r="B48" s="5" t="s">
        <v>52</v>
      </c>
      <c r="C48" s="11" t="s">
        <v>322</v>
      </c>
      <c r="D48" s="60">
        <v>0</v>
      </c>
      <c r="E48" s="60">
        <v>0</v>
      </c>
      <c r="I48" s="77" t="e">
        <v>#REF!</v>
      </c>
      <c r="K48" s="204"/>
      <c r="L48" s="204"/>
      <c r="M48" s="204"/>
    </row>
    <row r="49" spans="1:13">
      <c r="A49" s="14"/>
      <c r="K49" s="204"/>
      <c r="L49" s="205"/>
      <c r="M49" s="204"/>
    </row>
    <row r="50" spans="1:13" s="669" customFormat="1" ht="23.25" customHeight="1">
      <c r="A50" s="731" t="s">
        <v>731</v>
      </c>
      <c r="B50" s="667"/>
      <c r="C50" s="668"/>
      <c r="H50" s="670"/>
    </row>
    <row r="51" spans="1:13" s="669" customFormat="1" ht="15" customHeight="1">
      <c r="A51" s="731" t="s">
        <v>761</v>
      </c>
      <c r="B51" s="671"/>
      <c r="C51" s="668"/>
      <c r="E51" s="672" t="s">
        <v>1923</v>
      </c>
      <c r="F51" s="673"/>
    </row>
    <row r="52" spans="1:13" s="28" customFormat="1" ht="11.25" customHeight="1"/>
    <row r="53" spans="1:13" s="28" customFormat="1">
      <c r="B53" s="51"/>
    </row>
    <row r="54" spans="1:13" s="28" customFormat="1">
      <c r="B54" s="51"/>
    </row>
  </sheetData>
  <phoneticPr fontId="0" type="noConversion"/>
  <printOptions horizontalCentered="1"/>
  <pageMargins left="0.78740157480314965" right="0.78740157480314965" top="0.78740157480314965" bottom="0.11811023622047245" header="0.51181102362204722" footer="3.937007874015748E-2"/>
  <pageSetup paperSize="9" scale="87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C000"/>
  </sheetPr>
  <dimension ref="A1:I42"/>
  <sheetViews>
    <sheetView topLeftCell="A11" workbookViewId="0">
      <selection activeCell="C28" sqref="C28:C30"/>
    </sheetView>
  </sheetViews>
  <sheetFormatPr defaultColWidth="9.109375" defaultRowHeight="13.2"/>
  <cols>
    <col min="1" max="1" width="5.5546875" style="6" customWidth="1"/>
    <col min="2" max="2" width="38.5546875" style="6" customWidth="1"/>
    <col min="3" max="3" width="22.33203125" style="6" customWidth="1"/>
    <col min="4" max="4" width="21.5546875" style="6" customWidth="1"/>
    <col min="5" max="16384" width="9.109375" style="6"/>
  </cols>
  <sheetData>
    <row r="1" spans="1:9">
      <c r="D1" s="7" t="s">
        <v>53</v>
      </c>
    </row>
    <row r="2" spans="1:9">
      <c r="A2" s="4"/>
    </row>
    <row r="3" spans="1:9" ht="15.6">
      <c r="A3" s="57" t="s">
        <v>238</v>
      </c>
      <c r="B3" s="58"/>
      <c r="C3" s="58"/>
      <c r="D3" s="58"/>
    </row>
    <row r="4" spans="1:9" ht="18" customHeight="1">
      <c r="A4" s="57" t="s">
        <v>1764</v>
      </c>
      <c r="B4" s="57"/>
      <c r="C4" s="57"/>
      <c r="D4" s="57"/>
    </row>
    <row r="5" spans="1:9" ht="18" customHeight="1">
      <c r="A5" s="57" t="s">
        <v>1861</v>
      </c>
      <c r="B5" s="57"/>
      <c r="C5" s="57"/>
      <c r="D5" s="57"/>
      <c r="E5" s="46"/>
      <c r="F5" s="46"/>
      <c r="G5" s="46"/>
    </row>
    <row r="6" spans="1:9" ht="18" customHeight="1">
      <c r="A6" s="57"/>
      <c r="B6" s="57"/>
      <c r="C6" s="57"/>
      <c r="D6" s="57"/>
      <c r="E6" s="46"/>
      <c r="F6" s="46"/>
      <c r="G6" s="46"/>
    </row>
    <row r="7" spans="1:9">
      <c r="C7" s="751" t="s">
        <v>848</v>
      </c>
      <c r="D7" s="7" t="s">
        <v>24</v>
      </c>
    </row>
    <row r="8" spans="1:9">
      <c r="A8" s="13" t="s">
        <v>54</v>
      </c>
      <c r="B8" s="13" t="s">
        <v>291</v>
      </c>
      <c r="C8" s="13" t="s">
        <v>309</v>
      </c>
      <c r="D8" s="13" t="s">
        <v>303</v>
      </c>
    </row>
    <row r="9" spans="1:9" ht="39.6">
      <c r="A9" s="2123" t="s">
        <v>55</v>
      </c>
      <c r="B9" s="64" t="s">
        <v>243</v>
      </c>
      <c r="C9" s="81"/>
      <c r="D9" s="81"/>
      <c r="G9" s="6">
        <v>11768.208000000001</v>
      </c>
    </row>
    <row r="10" spans="1:9" ht="39.6">
      <c r="A10" s="2123" t="s">
        <v>77</v>
      </c>
      <c r="B10" s="12" t="s">
        <v>242</v>
      </c>
      <c r="C10" s="81"/>
      <c r="D10" s="81"/>
      <c r="G10" s="84">
        <v>7763.7825291508234</v>
      </c>
      <c r="H10" s="87">
        <v>0</v>
      </c>
    </row>
    <row r="11" spans="1:9" ht="19.5" customHeight="1">
      <c r="A11" s="2123" t="s">
        <v>78</v>
      </c>
      <c r="B11" s="2124" t="s">
        <v>56</v>
      </c>
      <c r="C11" s="75"/>
      <c r="D11" s="75"/>
    </row>
    <row r="12" spans="1:9" ht="27.75" customHeight="1">
      <c r="A12" s="2123" t="s">
        <v>79</v>
      </c>
      <c r="B12" s="2124" t="s">
        <v>57</v>
      </c>
      <c r="C12" s="75"/>
      <c r="D12" s="75"/>
    </row>
    <row r="13" spans="1:9" ht="27" customHeight="1">
      <c r="A13" s="2123" t="s">
        <v>80</v>
      </c>
      <c r="B13" s="2124" t="s">
        <v>378</v>
      </c>
      <c r="C13" s="81"/>
      <c r="D13" s="81"/>
      <c r="F13" s="34"/>
      <c r="G13" s="84">
        <v>900.64682685099399</v>
      </c>
      <c r="H13" s="84">
        <v>0</v>
      </c>
      <c r="I13" s="84"/>
    </row>
    <row r="14" spans="1:9" ht="13.5" customHeight="1">
      <c r="A14" s="2123" t="s">
        <v>81</v>
      </c>
      <c r="B14" s="2124" t="s">
        <v>59</v>
      </c>
      <c r="C14" s="83"/>
      <c r="D14" s="83"/>
    </row>
    <row r="15" spans="1:9" ht="16.5" customHeight="1">
      <c r="A15" s="2123" t="s">
        <v>82</v>
      </c>
      <c r="B15" s="2124" t="s">
        <v>60</v>
      </c>
      <c r="C15" s="82">
        <v>0</v>
      </c>
      <c r="D15" s="82">
        <v>0</v>
      </c>
      <c r="E15" s="37"/>
      <c r="G15" s="6">
        <v>131.10329790831238</v>
      </c>
    </row>
    <row r="16" spans="1:9">
      <c r="A16" s="14"/>
    </row>
    <row r="17" spans="1:8">
      <c r="A17" s="14"/>
    </row>
    <row r="18" spans="1:8">
      <c r="A18" s="19"/>
    </row>
    <row r="19" spans="1:8">
      <c r="A19" s="19"/>
      <c r="E19" s="19"/>
    </row>
    <row r="20" spans="1:8">
      <c r="A20" s="19"/>
      <c r="E20" s="19"/>
    </row>
    <row r="22" spans="1:8" s="669" customFormat="1" ht="23.25" customHeight="1">
      <c r="A22" s="731" t="s">
        <v>731</v>
      </c>
      <c r="B22" s="667"/>
      <c r="C22" s="668"/>
      <c r="H22" s="670"/>
    </row>
    <row r="23" spans="1:8" s="669" customFormat="1" ht="15" customHeight="1">
      <c r="A23" s="731" t="s">
        <v>761</v>
      </c>
      <c r="B23" s="671"/>
      <c r="C23" s="668"/>
      <c r="D23" s="672" t="s">
        <v>1923</v>
      </c>
      <c r="F23" s="673"/>
    </row>
    <row r="24" spans="1:8" s="28" customFormat="1"/>
    <row r="25" spans="1:8" s="28" customFormat="1"/>
    <row r="26" spans="1:8">
      <c r="A26" s="2962"/>
      <c r="B26" s="2963"/>
      <c r="C26" s="2963"/>
      <c r="D26" s="2963"/>
      <c r="E26" s="2963"/>
      <c r="F26" s="2963"/>
      <c r="G26" s="2963"/>
    </row>
    <row r="41" spans="1:1">
      <c r="A41" s="51"/>
    </row>
    <row r="42" spans="1:1">
      <c r="A42" s="51"/>
    </row>
  </sheetData>
  <mergeCells count="1">
    <mergeCell ref="A26:G26"/>
  </mergeCells>
  <pageMargins left="0.75" right="0.75" top="1" bottom="1" header="0.5" footer="0.5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 enableFormatConditionsCalculation="0">
    <tabColor rgb="FFFFC000"/>
  </sheetPr>
  <dimension ref="A1:H47"/>
  <sheetViews>
    <sheetView topLeftCell="A7" workbookViewId="0">
      <selection activeCell="C28" sqref="C28:C30"/>
    </sheetView>
  </sheetViews>
  <sheetFormatPr defaultColWidth="9.109375" defaultRowHeight="13.2"/>
  <cols>
    <col min="1" max="1" width="5.5546875" style="6" customWidth="1"/>
    <col min="2" max="2" width="38.5546875" style="6" customWidth="1"/>
    <col min="3" max="3" width="22.33203125" style="6" customWidth="1"/>
    <col min="4" max="4" width="21.5546875" style="6" customWidth="1"/>
    <col min="5" max="16384" width="9.109375" style="6"/>
  </cols>
  <sheetData>
    <row r="1" spans="1:7">
      <c r="D1" s="7" t="s">
        <v>53</v>
      </c>
    </row>
    <row r="2" spans="1:7">
      <c r="A2" s="4"/>
    </row>
    <row r="3" spans="1:7" ht="15.6">
      <c r="A3" s="57" t="s">
        <v>238</v>
      </c>
      <c r="B3" s="58"/>
      <c r="C3" s="58"/>
      <c r="D3" s="58"/>
    </row>
    <row r="4" spans="1:7" ht="18" customHeight="1">
      <c r="A4" s="57" t="s">
        <v>239</v>
      </c>
      <c r="B4" s="57"/>
      <c r="C4" s="57"/>
      <c r="D4" s="57"/>
    </row>
    <row r="5" spans="1:7" ht="18" customHeight="1">
      <c r="A5" s="57" t="s">
        <v>1824</v>
      </c>
      <c r="B5" s="57"/>
      <c r="C5" s="57"/>
      <c r="D5" s="57"/>
      <c r="E5" s="46"/>
      <c r="F5" s="46"/>
      <c r="G5" s="46"/>
    </row>
    <row r="6" spans="1:7" ht="18" customHeight="1">
      <c r="A6" s="57"/>
      <c r="B6" s="57"/>
      <c r="C6" s="57"/>
      <c r="D6" s="57"/>
      <c r="E6" s="46"/>
      <c r="F6" s="46"/>
      <c r="G6" s="46"/>
    </row>
    <row r="7" spans="1:7" ht="18" customHeight="1">
      <c r="A7" s="57"/>
      <c r="B7" s="57"/>
      <c r="C7" s="57"/>
      <c r="D7" s="563" t="s">
        <v>73</v>
      </c>
      <c r="E7" s="46"/>
      <c r="F7" s="46"/>
      <c r="G7" s="46"/>
    </row>
    <row r="8" spans="1:7">
      <c r="D8" s="7" t="s">
        <v>24</v>
      </c>
    </row>
    <row r="9" spans="1:7">
      <c r="A9" s="13" t="s">
        <v>54</v>
      </c>
      <c r="B9" s="13" t="s">
        <v>291</v>
      </c>
      <c r="C9" s="13" t="s">
        <v>309</v>
      </c>
      <c r="D9" s="13" t="s">
        <v>303</v>
      </c>
    </row>
    <row r="10" spans="1:7" ht="39.6">
      <c r="A10" s="10" t="s">
        <v>55</v>
      </c>
      <c r="B10" s="64" t="s">
        <v>243</v>
      </c>
      <c r="C10" s="81"/>
      <c r="D10" s="81"/>
    </row>
    <row r="11" spans="1:7" ht="39.6">
      <c r="A11" s="10" t="s">
        <v>77</v>
      </c>
      <c r="B11" s="12" t="s">
        <v>242</v>
      </c>
      <c r="C11" s="81"/>
      <c r="D11" s="81"/>
    </row>
    <row r="12" spans="1:7" ht="19.5" customHeight="1">
      <c r="A12" s="10" t="s">
        <v>78</v>
      </c>
      <c r="B12" s="5" t="s">
        <v>56</v>
      </c>
      <c r="C12" s="75"/>
      <c r="D12" s="75"/>
    </row>
    <row r="13" spans="1:7" ht="27.75" customHeight="1">
      <c r="A13" s="10" t="s">
        <v>79</v>
      </c>
      <c r="B13" s="5" t="s">
        <v>57</v>
      </c>
      <c r="C13" s="75"/>
      <c r="D13" s="75"/>
    </row>
    <row r="14" spans="1:7" ht="27" customHeight="1">
      <c r="A14" s="10" t="s">
        <v>80</v>
      </c>
      <c r="B14" s="5" t="s">
        <v>58</v>
      </c>
      <c r="C14" s="81"/>
      <c r="D14" s="81"/>
      <c r="F14" s="34"/>
      <c r="G14" s="113">
        <v>900.64682685099399</v>
      </c>
    </row>
    <row r="15" spans="1:7" ht="13.5" customHeight="1">
      <c r="A15" s="10" t="s">
        <v>81</v>
      </c>
      <c r="B15" s="5" t="s">
        <v>59</v>
      </c>
      <c r="C15" s="83"/>
      <c r="D15" s="83"/>
    </row>
    <row r="16" spans="1:7" ht="16.5" customHeight="1">
      <c r="A16" s="10" t="s">
        <v>82</v>
      </c>
      <c r="B16" s="5" t="s">
        <v>60</v>
      </c>
      <c r="C16" s="82">
        <v>131.10329790831238</v>
      </c>
      <c r="D16" s="82">
        <v>123.58182353274685</v>
      </c>
      <c r="E16" s="37"/>
    </row>
    <row r="17" spans="1:8">
      <c r="A17" s="14"/>
    </row>
    <row r="18" spans="1:8">
      <c r="A18" s="14"/>
    </row>
    <row r="19" spans="1:8">
      <c r="A19" s="19"/>
    </row>
    <row r="20" spans="1:8">
      <c r="A20" s="19"/>
      <c r="E20" s="19"/>
    </row>
    <row r="21" spans="1:8">
      <c r="A21" s="19"/>
      <c r="E21" s="19"/>
    </row>
    <row r="23" spans="1:8" s="669" customFormat="1" ht="23.25" customHeight="1">
      <c r="A23" s="731" t="s">
        <v>731</v>
      </c>
      <c r="B23" s="667"/>
      <c r="C23" s="668"/>
      <c r="H23" s="670"/>
    </row>
    <row r="24" spans="1:8" s="669" customFormat="1" ht="15" customHeight="1">
      <c r="A24" s="731" t="s">
        <v>761</v>
      </c>
      <c r="B24" s="671"/>
      <c r="C24" s="668"/>
      <c r="D24" s="672" t="s">
        <v>1923</v>
      </c>
    </row>
    <row r="25" spans="1:8" s="28" customFormat="1">
      <c r="A25" s="6"/>
      <c r="B25" s="6"/>
      <c r="C25" s="6"/>
      <c r="D25" s="6"/>
    </row>
    <row r="26" spans="1:8" s="28" customFormat="1">
      <c r="A26" s="6"/>
      <c r="B26" s="6"/>
      <c r="C26" s="6"/>
      <c r="D26" s="6"/>
    </row>
    <row r="27" spans="1:8">
      <c r="A27" s="2962"/>
      <c r="B27" s="2963"/>
      <c r="C27" s="2963"/>
      <c r="D27" s="2963"/>
      <c r="E27" s="2963"/>
      <c r="F27" s="2963"/>
      <c r="G27" s="2963"/>
    </row>
    <row r="46" spans="1:1">
      <c r="A46" s="59"/>
    </row>
    <row r="47" spans="1:1">
      <c r="A47" s="59"/>
    </row>
  </sheetData>
  <mergeCells count="1">
    <mergeCell ref="A27:G2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 enableFormatConditionsCalculation="0">
    <tabColor rgb="FF7030A0"/>
  </sheetPr>
  <dimension ref="A1:Z63"/>
  <sheetViews>
    <sheetView zoomScaleNormal="100" workbookViewId="0">
      <selection activeCell="C28" sqref="C28:C30"/>
    </sheetView>
  </sheetViews>
  <sheetFormatPr defaultColWidth="9.109375" defaultRowHeight="15.6"/>
  <cols>
    <col min="1" max="1" width="47.88671875" style="17" customWidth="1"/>
    <col min="2" max="2" width="8.109375" style="17" hidden="1" customWidth="1"/>
    <col min="3" max="3" width="7" style="17" hidden="1" customWidth="1"/>
    <col min="4" max="4" width="17.88671875" style="6" hidden="1" customWidth="1"/>
    <col min="5" max="5" width="19.6640625" style="6" hidden="1" customWidth="1"/>
    <col min="6" max="6" width="11.5546875" style="6" hidden="1" customWidth="1"/>
    <col min="7" max="7" width="13.88671875" style="6" hidden="1" customWidth="1"/>
    <col min="8" max="8" width="12.33203125" style="6" hidden="1" customWidth="1"/>
    <col min="9" max="9" width="11.44140625" style="6" hidden="1" customWidth="1"/>
    <col min="10" max="10" width="18.109375" style="120" customWidth="1"/>
    <col min="11" max="11" width="16.6640625" style="6" customWidth="1"/>
    <col min="12" max="12" width="14.109375" style="6" customWidth="1"/>
    <col min="13" max="13" width="15.109375" style="6" customWidth="1"/>
    <col min="14" max="14" width="15" style="6" customWidth="1"/>
    <col min="15" max="15" width="12.44140625" style="6" customWidth="1"/>
    <col min="16" max="16" width="14" style="17" customWidth="1"/>
    <col min="17" max="17" width="14.44140625" style="17" customWidth="1"/>
    <col min="18" max="18" width="13.109375" style="17" customWidth="1"/>
    <col min="19" max="19" width="11.44140625" style="527" bestFit="1" customWidth="1"/>
    <col min="20" max="20" width="10.109375" style="17" customWidth="1"/>
    <col min="21" max="21" width="12.44140625" style="17" customWidth="1"/>
    <col min="22" max="22" width="12" style="17" bestFit="1" customWidth="1"/>
    <col min="23" max="23" width="9.6640625" style="17" bestFit="1" customWidth="1"/>
    <col min="24" max="16384" width="9.109375" style="17"/>
  </cols>
  <sheetData>
    <row r="1" spans="1:24" ht="18">
      <c r="A1" s="62" t="s">
        <v>241</v>
      </c>
      <c r="B1" s="62"/>
      <c r="C1" s="62"/>
      <c r="D1" s="746"/>
      <c r="E1" s="746"/>
      <c r="F1" s="746"/>
      <c r="G1" s="746"/>
      <c r="H1" s="746"/>
      <c r="I1" s="746"/>
      <c r="J1" s="747"/>
      <c r="K1" s="746"/>
      <c r="L1" s="746"/>
      <c r="M1" s="746"/>
      <c r="N1" s="746"/>
      <c r="O1" s="748"/>
    </row>
    <row r="2" spans="1:24" ht="18">
      <c r="A2" s="62" t="s">
        <v>1859</v>
      </c>
      <c r="B2" s="62"/>
      <c r="C2" s="62"/>
      <c r="D2" s="746"/>
      <c r="E2" s="746"/>
      <c r="F2" s="746"/>
      <c r="G2" s="746"/>
      <c r="H2" s="746"/>
      <c r="I2" s="746"/>
      <c r="J2" s="747"/>
      <c r="K2" s="746"/>
      <c r="L2" s="746"/>
      <c r="M2" s="746"/>
      <c r="N2" s="746"/>
      <c r="O2" s="748"/>
    </row>
    <row r="3" spans="1:24" ht="18">
      <c r="A3" s="62" t="s">
        <v>2053</v>
      </c>
      <c r="B3" s="62"/>
      <c r="C3" s="62"/>
      <c r="D3" s="746"/>
      <c r="E3" s="746"/>
      <c r="F3" s="746"/>
      <c r="G3" s="746"/>
      <c r="H3" s="746"/>
      <c r="I3" s="746"/>
      <c r="J3" s="747"/>
      <c r="K3" s="746"/>
      <c r="L3" s="746"/>
      <c r="M3" s="746"/>
      <c r="N3" s="746"/>
      <c r="O3" s="748"/>
    </row>
    <row r="4" spans="1:24">
      <c r="H4" s="40"/>
      <c r="K4" s="63"/>
      <c r="M4" s="1109" t="s">
        <v>1762</v>
      </c>
      <c r="N4" s="63" t="s">
        <v>225</v>
      </c>
      <c r="O4" s="40"/>
    </row>
    <row r="5" spans="1:24" s="55" customFormat="1" ht="73.5" customHeight="1">
      <c r="A5" s="264" t="s">
        <v>645</v>
      </c>
      <c r="B5" s="264" t="s">
        <v>261</v>
      </c>
      <c r="C5" s="264" t="s">
        <v>644</v>
      </c>
      <c r="D5" s="2381" t="s">
        <v>1432</v>
      </c>
      <c r="E5" s="2381" t="s">
        <v>1110</v>
      </c>
      <c r="F5" s="2381" t="s">
        <v>646</v>
      </c>
      <c r="G5" s="2381" t="s">
        <v>1433</v>
      </c>
      <c r="H5" s="2381" t="s">
        <v>689</v>
      </c>
      <c r="I5" s="2381" t="s">
        <v>1434</v>
      </c>
      <c r="J5" s="264" t="s">
        <v>2054</v>
      </c>
      <c r="K5" s="264" t="s">
        <v>2004</v>
      </c>
      <c r="L5" s="264" t="s">
        <v>2055</v>
      </c>
      <c r="M5" s="264" t="s">
        <v>2005</v>
      </c>
      <c r="N5" s="264" t="s">
        <v>2006</v>
      </c>
      <c r="O5" s="264" t="s">
        <v>2007</v>
      </c>
      <c r="P5" s="264" t="s">
        <v>2056</v>
      </c>
      <c r="Q5" s="264" t="s">
        <v>2057</v>
      </c>
      <c r="R5" s="264" t="s">
        <v>2058</v>
      </c>
      <c r="T5" s="1637"/>
      <c r="V5" s="1638"/>
      <c r="W5" s="1639"/>
      <c r="X5" s="1640" t="s">
        <v>643</v>
      </c>
    </row>
    <row r="6" spans="1:24" s="55" customFormat="1" ht="25.5" hidden="1" customHeight="1">
      <c r="A6" s="1641"/>
      <c r="B6" s="564"/>
      <c r="C6" s="565"/>
      <c r="D6" s="2382"/>
      <c r="E6" s="2383"/>
      <c r="F6" s="2384"/>
      <c r="G6" s="2383"/>
      <c r="H6" s="2383">
        <v>0</v>
      </c>
      <c r="I6" s="2383">
        <v>0</v>
      </c>
      <c r="J6" s="1642">
        <v>0</v>
      </c>
      <c r="K6" s="1066">
        <v>0</v>
      </c>
      <c r="L6" s="1066"/>
      <c r="M6" s="1066">
        <v>0</v>
      </c>
      <c r="N6" s="1066">
        <v>0</v>
      </c>
      <c r="O6" s="1066" t="e">
        <v>#DIV/0!</v>
      </c>
      <c r="P6" s="1066">
        <v>0</v>
      </c>
      <c r="Q6" s="1066">
        <v>0</v>
      </c>
      <c r="R6" s="1066" t="e">
        <v>#DIV/0!</v>
      </c>
      <c r="S6" s="1643" t="e">
        <v>#DIV/0!</v>
      </c>
      <c r="T6" s="1644"/>
      <c r="V6" s="1638"/>
      <c r="W6" s="1644"/>
      <c r="X6" s="1645">
        <v>0</v>
      </c>
    </row>
    <row r="7" spans="1:24" s="55" customFormat="1" ht="25.5" hidden="1" customHeight="1">
      <c r="A7" s="1641"/>
      <c r="B7" s="564"/>
      <c r="C7" s="565"/>
      <c r="D7" s="2382"/>
      <c r="E7" s="2383"/>
      <c r="F7" s="2384"/>
      <c r="G7" s="2383"/>
      <c r="H7" s="2383">
        <v>0</v>
      </c>
      <c r="I7" s="2383">
        <v>0</v>
      </c>
      <c r="J7" s="1642">
        <v>0</v>
      </c>
      <c r="K7" s="1066">
        <v>0</v>
      </c>
      <c r="L7" s="1066"/>
      <c r="M7" s="1066">
        <v>0</v>
      </c>
      <c r="N7" s="1066">
        <v>0</v>
      </c>
      <c r="O7" s="1066" t="e">
        <v>#DIV/0!</v>
      </c>
      <c r="P7" s="1066">
        <v>0</v>
      </c>
      <c r="Q7" s="1066">
        <v>0</v>
      </c>
      <c r="R7" s="1066" t="e">
        <v>#DIV/0!</v>
      </c>
      <c r="S7" s="1643" t="e">
        <v>#DIV/0!</v>
      </c>
      <c r="T7" s="1644"/>
      <c r="V7" s="1638"/>
      <c r="W7" s="1644"/>
      <c r="X7" s="1645">
        <v>0</v>
      </c>
    </row>
    <row r="8" spans="1:24" s="55" customFormat="1" ht="25.5" hidden="1" customHeight="1">
      <c r="A8" s="1641"/>
      <c r="B8" s="564"/>
      <c r="C8" s="565"/>
      <c r="D8" s="2382"/>
      <c r="E8" s="2383"/>
      <c r="F8" s="2384"/>
      <c r="G8" s="2383"/>
      <c r="H8" s="2383">
        <v>0</v>
      </c>
      <c r="I8" s="2383">
        <v>0</v>
      </c>
      <c r="J8" s="1642">
        <v>0</v>
      </c>
      <c r="K8" s="1066">
        <v>0</v>
      </c>
      <c r="L8" s="1066"/>
      <c r="M8" s="1066">
        <v>0</v>
      </c>
      <c r="N8" s="1066">
        <v>0</v>
      </c>
      <c r="O8" s="1066" t="e">
        <v>#DIV/0!</v>
      </c>
      <c r="P8" s="1066">
        <v>0</v>
      </c>
      <c r="Q8" s="1066">
        <v>0</v>
      </c>
      <c r="R8" s="1066" t="e">
        <v>#DIV/0!</v>
      </c>
      <c r="S8" s="1643" t="e">
        <v>#DIV/0!</v>
      </c>
      <c r="T8" s="1644"/>
      <c r="V8" s="1638"/>
      <c r="W8" s="1644"/>
      <c r="X8" s="1645">
        <v>0</v>
      </c>
    </row>
    <row r="9" spans="1:24" s="55" customFormat="1" ht="13.8" hidden="1">
      <c r="A9" s="1641"/>
      <c r="B9" s="564"/>
      <c r="C9" s="565"/>
      <c r="D9" s="2384"/>
      <c r="E9" s="2384"/>
      <c r="F9" s="2383"/>
      <c r="G9" s="2384"/>
      <c r="H9" s="2383">
        <v>0</v>
      </c>
      <c r="I9" s="2383">
        <v>0</v>
      </c>
      <c r="J9" s="1066">
        <v>0</v>
      </c>
      <c r="K9" s="1066">
        <v>0</v>
      </c>
      <c r="L9" s="465"/>
      <c r="M9" s="1066">
        <v>0</v>
      </c>
      <c r="N9" s="1066">
        <v>0</v>
      </c>
      <c r="O9" s="1066" t="e">
        <v>#DIV/0!</v>
      </c>
      <c r="P9" s="1066">
        <v>0</v>
      </c>
      <c r="Q9" s="1066">
        <v>0</v>
      </c>
      <c r="R9" s="1066" t="e">
        <v>#DIV/0!</v>
      </c>
      <c r="S9" s="1643" t="e">
        <v>#DIV/0!</v>
      </c>
      <c r="T9" s="1644">
        <v>0</v>
      </c>
      <c r="V9" s="1638"/>
      <c r="W9" s="1644"/>
      <c r="X9" s="1645">
        <v>0</v>
      </c>
    </row>
    <row r="10" spans="1:24" s="55" customFormat="1" ht="27" hidden="1" customHeight="1">
      <c r="A10" s="1664" t="s">
        <v>1098</v>
      </c>
      <c r="B10" s="1664"/>
      <c r="C10" s="1664"/>
      <c r="D10" s="2385">
        <v>16085258</v>
      </c>
      <c r="E10" s="2385">
        <v>4850307</v>
      </c>
      <c r="F10" s="2383">
        <v>0</v>
      </c>
      <c r="G10" s="2385">
        <v>6764</v>
      </c>
      <c r="H10" s="2383"/>
      <c r="I10" s="2383">
        <v>81168</v>
      </c>
      <c r="J10" s="2624">
        <v>5810983</v>
      </c>
      <c r="K10" s="2126">
        <v>4769139</v>
      </c>
      <c r="L10" s="2126">
        <v>43001</v>
      </c>
      <c r="M10" s="1665">
        <v>516012</v>
      </c>
      <c r="N10" s="1665">
        <v>4253127</v>
      </c>
      <c r="O10" s="1665">
        <v>8.8799433761895372</v>
      </c>
      <c r="P10" s="1665">
        <v>516012</v>
      </c>
      <c r="Q10" s="1665">
        <v>3737115</v>
      </c>
      <c r="R10" s="1665">
        <v>8.8799433761895372</v>
      </c>
      <c r="U10" s="55">
        <v>0.50461111658886659</v>
      </c>
      <c r="V10" s="55">
        <v>974016</v>
      </c>
      <c r="X10" s="55">
        <v>4789431</v>
      </c>
    </row>
    <row r="11" spans="1:24" s="55" customFormat="1" ht="33.75" hidden="1" customHeight="1">
      <c r="A11" s="1641" t="s">
        <v>1095</v>
      </c>
      <c r="B11" s="564"/>
      <c r="C11" s="565"/>
      <c r="D11" s="2384">
        <v>0</v>
      </c>
      <c r="E11" s="2384">
        <v>0</v>
      </c>
      <c r="F11" s="2384"/>
      <c r="G11" s="2384">
        <v>0</v>
      </c>
      <c r="H11" s="2383">
        <v>0</v>
      </c>
      <c r="I11" s="2384">
        <v>0</v>
      </c>
      <c r="J11" s="465">
        <v>0</v>
      </c>
      <c r="K11" s="465">
        <v>0</v>
      </c>
      <c r="L11" s="465">
        <v>0</v>
      </c>
      <c r="M11" s="465">
        <v>0</v>
      </c>
      <c r="N11" s="465">
        <v>0</v>
      </c>
      <c r="O11" s="465">
        <v>0</v>
      </c>
      <c r="P11" s="465">
        <v>0</v>
      </c>
      <c r="Q11" s="465">
        <v>0</v>
      </c>
      <c r="R11" s="465">
        <v>0</v>
      </c>
      <c r="U11" s="1643" t="e">
        <v>#DIV/0!</v>
      </c>
      <c r="V11" s="1644">
        <v>0</v>
      </c>
      <c r="W11" s="1644"/>
      <c r="X11" s="1645">
        <v>0</v>
      </c>
    </row>
    <row r="12" spans="1:24" s="55" customFormat="1" ht="33.75" hidden="1" customHeight="1">
      <c r="A12" s="2128" t="s">
        <v>1757</v>
      </c>
      <c r="B12" s="2129"/>
      <c r="C12" s="2130"/>
      <c r="D12" s="2386">
        <v>1556773</v>
      </c>
      <c r="E12" s="2384">
        <v>1175070</v>
      </c>
      <c r="F12" s="2384"/>
      <c r="G12" s="2384">
        <v>4238</v>
      </c>
      <c r="H12" s="2383">
        <v>0</v>
      </c>
      <c r="I12" s="2384">
        <v>50856</v>
      </c>
      <c r="J12" s="1665">
        <v>1556773</v>
      </c>
      <c r="K12" s="2131">
        <v>920790</v>
      </c>
      <c r="L12" s="2131">
        <v>4238</v>
      </c>
      <c r="M12" s="2131">
        <v>50856</v>
      </c>
      <c r="N12" s="2131">
        <v>869934</v>
      </c>
      <c r="O12" s="2132">
        <v>3.2667575812273211</v>
      </c>
      <c r="P12" s="2131">
        <v>50856</v>
      </c>
      <c r="Q12" s="2131">
        <v>819078</v>
      </c>
      <c r="R12" s="2132">
        <v>3.2667575812273211</v>
      </c>
      <c r="S12" s="2133" t="s">
        <v>1758</v>
      </c>
      <c r="T12" s="2134">
        <v>30.611392952650622</v>
      </c>
      <c r="U12" s="1643">
        <v>3.2667575812273211</v>
      </c>
      <c r="V12" s="1644">
        <v>610272</v>
      </c>
      <c r="W12" s="1644"/>
      <c r="X12" s="1645">
        <v>1136928</v>
      </c>
    </row>
    <row r="13" spans="1:24" s="1651" customFormat="1" ht="32.25" customHeight="1">
      <c r="A13" s="1646" t="s">
        <v>1096</v>
      </c>
      <c r="B13" s="813"/>
      <c r="C13" s="814"/>
      <c r="D13" s="2387">
        <v>17642031</v>
      </c>
      <c r="E13" s="2387">
        <v>6025377</v>
      </c>
      <c r="F13" s="2387">
        <v>0</v>
      </c>
      <c r="G13" s="2387">
        <v>11002</v>
      </c>
      <c r="H13" s="2387">
        <v>0</v>
      </c>
      <c r="I13" s="2387">
        <v>132024</v>
      </c>
      <c r="J13" s="1647">
        <v>7372256</v>
      </c>
      <c r="K13" s="1647">
        <v>5198920.5291508231</v>
      </c>
      <c r="L13" s="1647">
        <v>48996.866286438526</v>
      </c>
      <c r="M13" s="1647">
        <v>587962.39543726237</v>
      </c>
      <c r="N13" s="1647">
        <v>4610958.1337135611</v>
      </c>
      <c r="O13" s="1648">
        <v>3.3327364374162047</v>
      </c>
      <c r="P13" s="1647">
        <v>585329.39543726237</v>
      </c>
      <c r="Q13" s="1647">
        <v>4025628.7382762986</v>
      </c>
      <c r="R13" s="1648">
        <v>7.939623846991509</v>
      </c>
      <c r="S13" s="1649"/>
      <c r="T13" s="1650"/>
      <c r="W13" s="1652">
        <v>0.74834921217404049</v>
      </c>
      <c r="X13" s="1650">
        <v>5926359</v>
      </c>
    </row>
    <row r="14" spans="1:24" s="55" customFormat="1" ht="27" customHeight="1">
      <c r="A14" s="1664" t="s">
        <v>1097</v>
      </c>
      <c r="B14" s="1664"/>
      <c r="C14" s="1664"/>
      <c r="D14" s="2383">
        <v>14648680</v>
      </c>
      <c r="E14" s="2383">
        <v>4924684</v>
      </c>
      <c r="F14" s="2383">
        <v>0</v>
      </c>
      <c r="G14" s="2383">
        <v>29374</v>
      </c>
      <c r="H14" s="2383"/>
      <c r="I14" s="2383">
        <v>352488</v>
      </c>
      <c r="J14" s="1665">
        <v>4395952</v>
      </c>
      <c r="K14" s="1665">
        <v>2564862</v>
      </c>
      <c r="L14" s="1665">
        <v>28569</v>
      </c>
      <c r="M14" s="1665">
        <v>342828</v>
      </c>
      <c r="N14" s="1642">
        <v>2222034</v>
      </c>
      <c r="O14" s="1665">
        <v>7.7987202772004789</v>
      </c>
      <c r="P14" s="1665">
        <v>292061</v>
      </c>
      <c r="Q14" s="1642">
        <v>1929973</v>
      </c>
      <c r="R14" s="1665">
        <v>6.6438623533650958</v>
      </c>
      <c r="W14" s="55">
        <v>2.4062782448657489</v>
      </c>
      <c r="X14" s="55">
        <v>4660318</v>
      </c>
    </row>
    <row r="15" spans="1:24" s="55" customFormat="1" ht="31.5" hidden="1" customHeight="1">
      <c r="A15" s="2550" t="s">
        <v>1108</v>
      </c>
      <c r="B15" s="2550"/>
      <c r="C15" s="2550"/>
      <c r="D15" s="2132">
        <v>301659</v>
      </c>
      <c r="E15" s="2132">
        <v>71286</v>
      </c>
      <c r="F15" s="2132">
        <v>0</v>
      </c>
      <c r="G15" s="2132">
        <v>611</v>
      </c>
      <c r="H15" s="2132"/>
      <c r="I15" s="2132">
        <v>7332</v>
      </c>
      <c r="J15" s="2132"/>
      <c r="K15" s="2132"/>
      <c r="L15" s="2132"/>
      <c r="M15" s="2132"/>
      <c r="N15" s="2132">
        <v>0</v>
      </c>
      <c r="O15" s="2132" t="e">
        <v>#DIV/0!</v>
      </c>
      <c r="P15" s="2132">
        <v>0</v>
      </c>
      <c r="Q15" s="2132">
        <v>0</v>
      </c>
      <c r="R15" s="2132" t="e">
        <v>#DIV/0!</v>
      </c>
      <c r="W15" s="55">
        <v>2.4305590086819886</v>
      </c>
      <c r="X15" s="55">
        <v>65787</v>
      </c>
    </row>
    <row r="16" spans="1:24" s="1651" customFormat="1" ht="32.25" customHeight="1">
      <c r="A16" s="1653" t="s">
        <v>1109</v>
      </c>
      <c r="B16" s="814"/>
      <c r="C16" s="814"/>
      <c r="D16" s="2388">
        <v>14950339</v>
      </c>
      <c r="E16" s="2388">
        <v>4995970</v>
      </c>
      <c r="F16" s="2389">
        <v>0</v>
      </c>
      <c r="G16" s="2388">
        <v>29985</v>
      </c>
      <c r="H16" s="2389">
        <v>0</v>
      </c>
      <c r="I16" s="2387">
        <v>359820</v>
      </c>
      <c r="J16" s="1647">
        <v>4395952</v>
      </c>
      <c r="K16" s="1655">
        <v>2564862</v>
      </c>
      <c r="L16" s="1654">
        <v>28569</v>
      </c>
      <c r="M16" s="1655">
        <v>342828</v>
      </c>
      <c r="N16" s="1655">
        <v>2222034</v>
      </c>
      <c r="O16" s="1654">
        <v>7.7987202772004789</v>
      </c>
      <c r="P16" s="1655">
        <v>292061</v>
      </c>
      <c r="Q16" s="1655">
        <v>1929973</v>
      </c>
      <c r="R16" s="1654">
        <v>6.6438623533650958</v>
      </c>
      <c r="S16" s="1649"/>
      <c r="T16" s="1650"/>
      <c r="W16" s="1652">
        <v>2.4067681675980728</v>
      </c>
      <c r="X16" s="1650">
        <v>4726105</v>
      </c>
    </row>
    <row r="17" spans="1:26" s="55" customFormat="1" ht="32.25" hidden="1" customHeight="1">
      <c r="A17" s="324" t="s">
        <v>112</v>
      </c>
      <c r="B17" s="565"/>
      <c r="C17" s="565"/>
      <c r="D17" s="2382"/>
      <c r="E17" s="2384">
        <v>0</v>
      </c>
      <c r="F17" s="2384">
        <v>0</v>
      </c>
      <c r="G17" s="2384">
        <v>0</v>
      </c>
      <c r="H17" s="2384">
        <v>0</v>
      </c>
      <c r="I17" s="2384">
        <v>0</v>
      </c>
      <c r="J17" s="1642"/>
      <c r="K17" s="465">
        <v>0</v>
      </c>
      <c r="L17" s="465">
        <v>0</v>
      </c>
      <c r="M17" s="465">
        <v>0</v>
      </c>
      <c r="N17" s="465">
        <v>0</v>
      </c>
      <c r="O17" s="1066" t="e">
        <v>#DIV/0!</v>
      </c>
      <c r="P17" s="465">
        <v>0</v>
      </c>
      <c r="Q17" s="465">
        <v>0</v>
      </c>
      <c r="R17" s="1665" t="e">
        <v>#DIV/0!</v>
      </c>
      <c r="T17" s="1637"/>
      <c r="V17" s="1638"/>
      <c r="W17" s="1643" t="e">
        <v>#DIV/0!</v>
      </c>
      <c r="X17" s="1645"/>
    </row>
    <row r="18" spans="1:26" s="55" customFormat="1" ht="21" hidden="1" customHeight="1">
      <c r="A18" s="324" t="s">
        <v>112</v>
      </c>
      <c r="B18" s="565"/>
      <c r="C18" s="565"/>
      <c r="D18" s="2384">
        <v>0</v>
      </c>
      <c r="E18" s="2384">
        <v>0</v>
      </c>
      <c r="F18" s="2384">
        <v>0</v>
      </c>
      <c r="G18" s="2384">
        <v>0</v>
      </c>
      <c r="H18" s="2384">
        <v>0</v>
      </c>
      <c r="I18" s="2384">
        <v>0</v>
      </c>
      <c r="J18" s="465">
        <v>0</v>
      </c>
      <c r="K18" s="465">
        <v>0</v>
      </c>
      <c r="L18" s="465">
        <v>0</v>
      </c>
      <c r="M18" s="465">
        <v>0</v>
      </c>
      <c r="N18" s="465">
        <v>0</v>
      </c>
      <c r="O18" s="1066" t="e">
        <v>#DIV/0!</v>
      </c>
      <c r="P18" s="465">
        <v>0</v>
      </c>
      <c r="Q18" s="465">
        <v>0</v>
      </c>
      <c r="R18" s="465" t="e">
        <v>#DIV/0!</v>
      </c>
      <c r="V18" s="1638"/>
      <c r="W18" s="1643" t="e">
        <v>#DIV/0!</v>
      </c>
      <c r="X18" s="1645"/>
    </row>
    <row r="19" spans="1:26" s="1649" customFormat="1" ht="31.5" customHeight="1">
      <c r="A19" s="1656" t="s">
        <v>158</v>
      </c>
      <c r="B19" s="1656"/>
      <c r="C19" s="1656"/>
      <c r="D19" s="2390">
        <v>32592370</v>
      </c>
      <c r="E19" s="2390">
        <v>11021347</v>
      </c>
      <c r="F19" s="2390">
        <v>0</v>
      </c>
      <c r="G19" s="2390">
        <v>40987</v>
      </c>
      <c r="H19" s="2390">
        <v>0</v>
      </c>
      <c r="I19" s="2390">
        <v>491844</v>
      </c>
      <c r="J19" s="1648">
        <v>11768208</v>
      </c>
      <c r="K19" s="1648">
        <v>7763782.5291508231</v>
      </c>
      <c r="L19" s="1648">
        <v>77565.866286438526</v>
      </c>
      <c r="M19" s="2390">
        <v>930790.39543726237</v>
      </c>
      <c r="N19" s="1648">
        <v>6832992.1337135611</v>
      </c>
      <c r="O19" s="1648">
        <v>7.9093639017704511</v>
      </c>
      <c r="P19" s="2390">
        <v>877390.39543726237</v>
      </c>
      <c r="Q19" s="1648">
        <v>5955601.7382762991</v>
      </c>
      <c r="R19" s="1648">
        <v>7.4555989785128061</v>
      </c>
      <c r="T19" s="1657"/>
      <c r="V19" s="1649">
        <v>19.731493972590652</v>
      </c>
      <c r="W19" s="1643">
        <v>1.5090771244926342</v>
      </c>
      <c r="X19" s="1658"/>
    </row>
    <row r="20" spans="1:26" s="6" customFormat="1" ht="13.2">
      <c r="A20" s="22"/>
      <c r="B20" s="22"/>
      <c r="C20" s="22"/>
      <c r="D20" s="22"/>
      <c r="E20" s="749"/>
      <c r="F20" s="749"/>
      <c r="G20" s="749"/>
      <c r="H20" s="749"/>
      <c r="I20" s="749"/>
      <c r="J20" s="750"/>
      <c r="K20" s="749"/>
      <c r="L20" s="749"/>
      <c r="M20" s="749"/>
      <c r="N20" s="749"/>
      <c r="O20" s="749"/>
      <c r="T20" s="1662"/>
      <c r="U20" s="1661"/>
    </row>
    <row r="21" spans="1:26" s="6" customFormat="1" hidden="1">
      <c r="A21" s="2125" t="s">
        <v>266</v>
      </c>
      <c r="B21" s="22"/>
      <c r="C21" s="22"/>
      <c r="D21" s="22"/>
      <c r="E21" s="749"/>
      <c r="F21" s="749"/>
      <c r="G21" s="749"/>
      <c r="H21" s="749"/>
      <c r="I21" s="749"/>
      <c r="J21" s="750"/>
      <c r="K21" s="749"/>
      <c r="L21" s="749"/>
      <c r="M21" s="749"/>
      <c r="N21" s="749"/>
      <c r="O21" s="749"/>
      <c r="T21" s="1662"/>
      <c r="U21" s="1661"/>
    </row>
    <row r="22" spans="1:26" s="6" customFormat="1" hidden="1">
      <c r="A22" s="42" t="s">
        <v>1754</v>
      </c>
      <c r="B22" s="22"/>
      <c r="C22" s="22"/>
      <c r="D22" s="22"/>
      <c r="E22" s="749"/>
      <c r="F22" s="749"/>
      <c r="G22" s="749"/>
      <c r="H22" s="749"/>
      <c r="I22" s="749"/>
      <c r="J22" s="750"/>
      <c r="K22" s="749"/>
      <c r="L22" s="749"/>
      <c r="M22" s="749"/>
      <c r="N22" s="749"/>
      <c r="O22" s="749"/>
      <c r="T22" s="1662"/>
      <c r="U22" s="1661"/>
    </row>
    <row r="23" spans="1:26" s="6" customFormat="1" ht="16.5" hidden="1" customHeight="1">
      <c r="A23" s="42" t="s">
        <v>1763</v>
      </c>
      <c r="B23" s="22"/>
      <c r="C23" s="22"/>
      <c r="D23" s="22"/>
      <c r="E23" s="749"/>
      <c r="F23" s="749"/>
      <c r="G23" s="749"/>
      <c r="H23" s="749"/>
      <c r="I23" s="749"/>
      <c r="J23" s="750"/>
      <c r="K23" s="749"/>
      <c r="L23" s="749"/>
      <c r="M23" s="749"/>
      <c r="N23" s="749"/>
      <c r="O23" s="749"/>
      <c r="T23" s="1662"/>
      <c r="U23" s="1661"/>
    </row>
    <row r="24" spans="1:26" s="6" customFormat="1" hidden="1">
      <c r="A24" s="2127" t="s">
        <v>1756</v>
      </c>
      <c r="B24" s="22"/>
      <c r="C24" s="22"/>
      <c r="D24" s="22"/>
      <c r="E24" s="749"/>
      <c r="F24" s="749"/>
      <c r="G24" s="749"/>
      <c r="H24" s="749"/>
      <c r="I24" s="749"/>
      <c r="J24" s="750"/>
      <c r="K24" s="749"/>
      <c r="L24" s="749"/>
      <c r="M24" s="749"/>
      <c r="N24" s="749"/>
      <c r="O24" s="749"/>
      <c r="T24" s="1662"/>
      <c r="U24" s="1661"/>
    </row>
    <row r="25" spans="1:26" s="6" customFormat="1" hidden="1">
      <c r="A25" s="2127" t="s">
        <v>1755</v>
      </c>
      <c r="B25" s="22"/>
      <c r="C25" s="22"/>
      <c r="D25" s="22"/>
      <c r="E25" s="749"/>
      <c r="F25" s="749"/>
      <c r="G25" s="749"/>
      <c r="H25" s="749"/>
      <c r="I25" s="749"/>
      <c r="J25" s="750"/>
      <c r="K25" s="749"/>
      <c r="L25" s="749"/>
      <c r="M25" s="749"/>
      <c r="N25" s="749"/>
      <c r="O25" s="749"/>
      <c r="T25" s="1662"/>
      <c r="U25" s="1661"/>
    </row>
    <row r="26" spans="1:26" s="6" customFormat="1">
      <c r="A26" s="2625" t="s">
        <v>2046</v>
      </c>
      <c r="B26" s="22"/>
      <c r="C26" s="22"/>
      <c r="D26" s="22"/>
      <c r="E26" s="749"/>
      <c r="F26" s="749"/>
      <c r="G26" s="749"/>
      <c r="H26" s="749"/>
      <c r="I26" s="749"/>
      <c r="J26" s="750"/>
      <c r="K26" s="749"/>
      <c r="L26" s="749"/>
      <c r="M26" s="749"/>
      <c r="N26" s="749"/>
      <c r="O26" s="749"/>
      <c r="T26" s="1662"/>
      <c r="U26" s="1661"/>
    </row>
    <row r="27" spans="1:26" s="6" customFormat="1">
      <c r="A27" s="2625" t="s">
        <v>2047</v>
      </c>
      <c r="B27" s="22"/>
      <c r="C27" s="22"/>
      <c r="D27" s="22"/>
      <c r="E27" s="749"/>
      <c r="F27" s="749"/>
      <c r="G27" s="749"/>
      <c r="H27" s="749"/>
      <c r="I27" s="749"/>
      <c r="J27" s="750"/>
      <c r="K27" s="749"/>
      <c r="L27" s="749"/>
      <c r="M27" s="749"/>
      <c r="N27" s="749"/>
      <c r="O27" s="749"/>
      <c r="T27" s="1662"/>
      <c r="U27" s="1661"/>
    </row>
    <row r="28" spans="1:26" s="6" customFormat="1">
      <c r="A28" s="2127"/>
      <c r="B28" s="22"/>
      <c r="C28" s="22"/>
      <c r="D28" s="22"/>
      <c r="E28" s="749"/>
      <c r="F28" s="749"/>
      <c r="G28" s="749"/>
      <c r="H28" s="749"/>
      <c r="I28" s="749"/>
      <c r="J28" s="750"/>
      <c r="K28" s="749"/>
      <c r="L28" s="749"/>
      <c r="M28" s="749"/>
      <c r="N28" s="749"/>
      <c r="O28" s="749"/>
      <c r="T28" s="1662"/>
      <c r="U28" s="1661"/>
    </row>
    <row r="29" spans="1:26" s="6" customFormat="1">
      <c r="A29" s="42" t="s">
        <v>871</v>
      </c>
      <c r="B29" s="42"/>
      <c r="C29" s="42"/>
      <c r="D29" s="42"/>
      <c r="E29" s="1659"/>
      <c r="F29" s="1659"/>
      <c r="G29" s="1659"/>
      <c r="H29" s="1659"/>
      <c r="I29" s="1659"/>
      <c r="J29" s="105"/>
      <c r="K29" s="1659"/>
      <c r="L29" s="1659"/>
      <c r="M29" s="749"/>
      <c r="N29" s="749"/>
      <c r="O29" s="749"/>
      <c r="T29" s="1662"/>
      <c r="U29" s="1661"/>
    </row>
    <row r="30" spans="1:26" s="6" customFormat="1">
      <c r="A30" s="42" t="s">
        <v>872</v>
      </c>
      <c r="B30" s="42"/>
      <c r="C30" s="42"/>
      <c r="D30" s="42"/>
      <c r="E30" s="1659"/>
      <c r="F30" s="1659"/>
      <c r="G30" s="1659"/>
      <c r="H30" s="1659"/>
      <c r="I30" s="1659"/>
      <c r="J30" s="105"/>
      <c r="K30" s="1659"/>
      <c r="L30" s="1659"/>
      <c r="M30" s="749"/>
      <c r="N30" s="749"/>
      <c r="O30" s="749"/>
      <c r="S30" s="34">
        <v>131.10329790831238</v>
      </c>
      <c r="T30" s="1662"/>
      <c r="U30" s="1661"/>
    </row>
    <row r="31" spans="1:26" s="6" customFormat="1">
      <c r="A31" s="44" t="s">
        <v>389</v>
      </c>
      <c r="B31" s="2135"/>
      <c r="C31" s="2135"/>
      <c r="D31" s="2135"/>
      <c r="E31" s="2135"/>
      <c r="F31" s="2135"/>
      <c r="G31" s="2135"/>
      <c r="H31" s="2135"/>
      <c r="I31" s="2135"/>
      <c r="J31" s="68" t="s">
        <v>1759</v>
      </c>
      <c r="K31" s="2136"/>
      <c r="L31" s="68"/>
      <c r="M31" s="2964" t="s">
        <v>1436</v>
      </c>
      <c r="N31" s="2967" t="s">
        <v>1435</v>
      </c>
      <c r="O31" s="17"/>
      <c r="P31" s="17"/>
      <c r="Q31" s="42"/>
      <c r="R31" s="22"/>
      <c r="S31" s="749"/>
      <c r="T31" s="749"/>
      <c r="V31" s="750"/>
      <c r="W31" s="749"/>
      <c r="Y31" s="1660"/>
      <c r="Z31" s="1661"/>
    </row>
    <row r="32" spans="1:26" s="6" customFormat="1">
      <c r="A32" s="2138"/>
      <c r="B32" s="2138"/>
      <c r="C32" s="2138"/>
      <c r="D32" s="2138"/>
      <c r="E32" s="2138"/>
      <c r="F32" s="2138"/>
      <c r="G32" s="2138"/>
      <c r="H32" s="2138"/>
      <c r="I32" s="2138"/>
      <c r="J32" s="2397" t="s">
        <v>1760</v>
      </c>
      <c r="K32" s="2398"/>
      <c r="L32" s="2399" t="s">
        <v>335</v>
      </c>
      <c r="M32" s="2965"/>
      <c r="N32" s="2968"/>
      <c r="O32" s="17"/>
      <c r="P32" s="42"/>
      <c r="Q32" s="22"/>
      <c r="R32" s="749"/>
      <c r="S32" s="749"/>
      <c r="U32" s="750"/>
      <c r="V32" s="749"/>
      <c r="X32" s="1660"/>
      <c r="Y32" s="1661"/>
    </row>
    <row r="33" spans="1:25" s="6" customFormat="1" ht="27">
      <c r="A33" s="2138"/>
      <c r="B33" s="2138"/>
      <c r="C33" s="2138"/>
      <c r="D33" s="2138"/>
      <c r="E33" s="2138"/>
      <c r="F33" s="2138"/>
      <c r="G33" s="2138"/>
      <c r="H33" s="2138"/>
      <c r="I33" s="2138"/>
      <c r="J33" s="2137" t="s">
        <v>620</v>
      </c>
      <c r="K33" s="23" t="s">
        <v>1761</v>
      </c>
      <c r="L33" s="2396" t="s">
        <v>248</v>
      </c>
      <c r="M33" s="2966"/>
      <c r="N33" s="2969"/>
      <c r="O33" s="17"/>
      <c r="P33" s="42"/>
      <c r="Q33" s="22"/>
      <c r="R33" s="749"/>
      <c r="S33" s="749"/>
      <c r="U33" s="750"/>
      <c r="V33" s="749"/>
      <c r="X33" s="1660"/>
      <c r="Y33" s="1661"/>
    </row>
    <row r="34" spans="1:25" s="6" customFormat="1" ht="15.75" customHeight="1">
      <c r="A34" s="2139" t="s">
        <v>1107</v>
      </c>
      <c r="B34" s="2138"/>
      <c r="C34" s="2138"/>
      <c r="D34" s="2138"/>
      <c r="E34" s="2138"/>
      <c r="F34" s="2138"/>
      <c r="G34" s="2138"/>
      <c r="H34" s="2138"/>
      <c r="I34" s="2138"/>
      <c r="J34" s="2677">
        <v>22798.536</v>
      </c>
      <c r="K34" s="2677">
        <v>52.81832</v>
      </c>
      <c r="L34" s="2677">
        <v>22851.354319999999</v>
      </c>
      <c r="M34" s="61">
        <v>14.085158006677034</v>
      </c>
      <c r="N34" s="2678">
        <v>123.58182353274684</v>
      </c>
      <c r="O34" s="17"/>
      <c r="P34" s="17"/>
      <c r="U34" s="120">
        <v>23157.851999999999</v>
      </c>
      <c r="V34" s="1624">
        <v>0.14737284304993553</v>
      </c>
      <c r="X34" s="1663">
        <v>14.085158006677034</v>
      </c>
      <c r="Y34" s="1661"/>
    </row>
    <row r="35" spans="1:25" s="6" customFormat="1" ht="29.4">
      <c r="A35" s="2672" t="s">
        <v>2059</v>
      </c>
      <c r="B35" s="2138"/>
      <c r="C35" s="2138"/>
      <c r="D35" s="2138"/>
      <c r="E35" s="2138"/>
      <c r="F35" s="2138"/>
      <c r="G35" s="2138"/>
      <c r="H35" s="2138"/>
      <c r="I35" s="2138"/>
      <c r="J35" s="2677">
        <v>137969.633</v>
      </c>
      <c r="K35" s="2677">
        <v>1416.13</v>
      </c>
      <c r="L35" s="2677">
        <v>139385.76300000001</v>
      </c>
      <c r="M35" s="61">
        <v>85.914841993322952</v>
      </c>
      <c r="N35" s="16"/>
      <c r="P35" s="17"/>
      <c r="U35" s="120">
        <v>133980</v>
      </c>
      <c r="V35" s="1624">
        <v>0.85262715695006441</v>
      </c>
      <c r="X35" s="1663">
        <v>85.914841993322966</v>
      </c>
      <c r="Y35" s="1661"/>
    </row>
    <row r="36" spans="1:25" s="6" customFormat="1">
      <c r="A36" s="2139" t="s">
        <v>158</v>
      </c>
      <c r="B36" s="2138"/>
      <c r="C36" s="2138"/>
      <c r="D36" s="2138"/>
      <c r="E36" s="2138"/>
      <c r="F36" s="2138"/>
      <c r="G36" s="2138"/>
      <c r="H36" s="2138"/>
      <c r="I36" s="2138"/>
      <c r="J36" s="16"/>
      <c r="K36" s="16"/>
      <c r="L36" s="2677">
        <v>162237.11732000002</v>
      </c>
      <c r="M36" s="61">
        <v>99.999999999999986</v>
      </c>
      <c r="N36" s="16"/>
      <c r="O36" s="17"/>
      <c r="P36" s="17"/>
      <c r="U36" s="120">
        <v>157137.85200000001</v>
      </c>
      <c r="V36" s="1624">
        <v>1</v>
      </c>
      <c r="X36" s="1663">
        <v>100</v>
      </c>
      <c r="Y36" s="1661"/>
    </row>
    <row r="37" spans="1:25" s="94" customFormat="1" ht="17.25" hidden="1" customHeight="1">
      <c r="A37" s="443" t="s">
        <v>1106</v>
      </c>
      <c r="D37" s="1136"/>
      <c r="E37" s="1140"/>
      <c r="H37" s="1141"/>
      <c r="J37" s="120"/>
      <c r="K37" s="120"/>
      <c r="M37" s="120"/>
      <c r="N37" s="120"/>
      <c r="O37" s="120"/>
      <c r="Q37" s="1137"/>
      <c r="R37" s="1138"/>
      <c r="S37" s="1139"/>
    </row>
    <row r="38" spans="1:25">
      <c r="D38" s="623"/>
      <c r="E38" s="623"/>
      <c r="F38" s="623"/>
      <c r="G38" s="623"/>
      <c r="L38" s="623"/>
    </row>
    <row r="39" spans="1:25">
      <c r="B39" s="51"/>
      <c r="C39" s="51"/>
    </row>
    <row r="40" spans="1:25">
      <c r="A40" s="51"/>
      <c r="B40" s="51"/>
      <c r="C40" s="51"/>
    </row>
    <row r="41" spans="1:25">
      <c r="A41" s="51"/>
    </row>
    <row r="43" spans="1:25">
      <c r="K43" s="210"/>
    </row>
    <row r="45" spans="1:25" s="2674" customFormat="1">
      <c r="D45" s="1871"/>
      <c r="E45" s="1871"/>
      <c r="F45" s="1871"/>
      <c r="G45" s="1871"/>
      <c r="H45" s="1871"/>
      <c r="I45" s="1871"/>
      <c r="J45" s="2675">
        <v>11768208</v>
      </c>
      <c r="K45" s="2676">
        <v>7763782.5291508231</v>
      </c>
      <c r="L45" s="2676">
        <v>77565.866286438526</v>
      </c>
      <c r="M45" s="2676">
        <v>930790.39543726237</v>
      </c>
      <c r="N45" s="2676">
        <v>6832992.133713562</v>
      </c>
      <c r="O45" s="2676"/>
      <c r="P45" s="2676">
        <v>877390.39543726237</v>
      </c>
      <c r="Q45" s="2676">
        <v>5955601.7382762991</v>
      </c>
      <c r="R45" s="2676"/>
      <c r="S45" s="2673"/>
    </row>
    <row r="46" spans="1:25">
      <c r="C46" s="17" t="s">
        <v>262</v>
      </c>
    </row>
    <row r="50" spans="4:12">
      <c r="D50" s="17"/>
      <c r="E50" s="17"/>
      <c r="F50" s="17"/>
      <c r="G50" s="17"/>
      <c r="H50" s="17"/>
      <c r="I50" s="17"/>
      <c r="J50" s="17"/>
      <c r="L50" s="17"/>
    </row>
    <row r="51" spans="4:12">
      <c r="D51" s="17"/>
      <c r="E51" s="17"/>
      <c r="F51" s="17"/>
      <c r="G51" s="17"/>
      <c r="H51" s="17"/>
      <c r="I51" s="17"/>
      <c r="J51" s="17"/>
      <c r="L51" s="17"/>
    </row>
    <row r="52" spans="4:12">
      <c r="D52" s="17"/>
      <c r="E52" s="17"/>
      <c r="F52" s="17"/>
      <c r="G52" s="17"/>
      <c r="H52" s="17"/>
      <c r="I52" s="17"/>
      <c r="J52" s="17"/>
      <c r="L52" s="17"/>
    </row>
    <row r="53" spans="4:12">
      <c r="D53" s="17"/>
      <c r="E53" s="17"/>
      <c r="F53" s="17"/>
      <c r="G53" s="17"/>
      <c r="H53" s="17"/>
      <c r="I53" s="17"/>
      <c r="J53" s="17"/>
      <c r="L53" s="17"/>
    </row>
    <row r="60" spans="4:12">
      <c r="D60" s="1142" t="s">
        <v>260</v>
      </c>
      <c r="G60" s="1142" t="s">
        <v>260</v>
      </c>
      <c r="H60" s="1142" t="s">
        <v>260</v>
      </c>
      <c r="I60" s="1142" t="s">
        <v>260</v>
      </c>
      <c r="L60" s="1142" t="s">
        <v>260</v>
      </c>
    </row>
    <row r="61" spans="4:12">
      <c r="D61" s="1143">
        <v>32622674.32</v>
      </c>
      <c r="G61" s="1143">
        <v>41576.85</v>
      </c>
      <c r="H61" s="1143">
        <v>17879.05</v>
      </c>
      <c r="I61" s="1143">
        <v>573012</v>
      </c>
      <c r="L61" s="1143">
        <v>78155.716286438532</v>
      </c>
    </row>
    <row r="62" spans="4:12">
      <c r="D62" s="6">
        <v>113600.61</v>
      </c>
    </row>
    <row r="63" spans="4:12">
      <c r="D63" s="210">
        <v>-32509073.710000001</v>
      </c>
    </row>
  </sheetData>
  <mergeCells count="2">
    <mergeCell ref="M31:M33"/>
    <mergeCell ref="N31:N33"/>
  </mergeCells>
  <phoneticPr fontId="20" type="noConversion"/>
  <printOptions horizontalCentered="1"/>
  <pageMargins left="1.1811023622047245" right="0.39370078740157483" top="0.98425196850393704" bottom="0.11811023622047245" header="0.51181102362204722" footer="3.937007874015748E-2"/>
  <pageSetup paperSize="9" scale="70" orientation="landscape" r:id="rId1"/>
  <headerFooter alignWithMargins="0"/>
  <colBreaks count="1" manualBreakCount="1">
    <brk id="18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C000"/>
  </sheetPr>
  <dimension ref="A1:Y33"/>
  <sheetViews>
    <sheetView zoomScaleNormal="100" workbookViewId="0">
      <selection activeCell="C28" sqref="C28:C30"/>
    </sheetView>
  </sheetViews>
  <sheetFormatPr defaultColWidth="9.109375" defaultRowHeight="13.2"/>
  <cols>
    <col min="1" max="1" width="32.44140625" style="758" customWidth="1"/>
    <col min="2" max="2" width="9.88671875" style="758" hidden="1" customWidth="1"/>
    <col min="3" max="8" width="11" style="758" hidden="1" customWidth="1"/>
    <col min="9" max="9" width="10.88671875" style="757" bestFit="1" customWidth="1"/>
    <col min="10" max="10" width="9.88671875" style="758" customWidth="1"/>
    <col min="11" max="11" width="10.88671875" style="758" bestFit="1" customWidth="1"/>
    <col min="12" max="14" width="0" style="758" hidden="1" customWidth="1"/>
    <col min="15" max="15" width="10.88671875" style="758" bestFit="1" customWidth="1"/>
    <col min="16" max="16" width="9.33203125" style="758" bestFit="1" customWidth="1"/>
    <col min="17" max="17" width="10.88671875" style="758" bestFit="1" customWidth="1"/>
    <col min="18" max="18" width="9.109375" style="758"/>
    <col min="19" max="23" width="0" style="758" hidden="1" customWidth="1"/>
    <col min="24" max="16384" width="9.109375" style="758"/>
  </cols>
  <sheetData>
    <row r="1" spans="1:22" ht="21" customHeight="1">
      <c r="A1" s="487" t="s">
        <v>1749</v>
      </c>
      <c r="B1" s="755"/>
      <c r="C1" s="756"/>
      <c r="D1" s="756"/>
      <c r="E1" s="756"/>
      <c r="F1" s="756"/>
      <c r="G1" s="756"/>
      <c r="H1" s="756"/>
      <c r="I1" s="2067"/>
      <c r="J1" s="760"/>
      <c r="K1" s="760"/>
      <c r="L1" s="760"/>
      <c r="M1" s="760"/>
      <c r="N1" s="760"/>
      <c r="O1" s="760"/>
      <c r="P1" s="760"/>
      <c r="Q1" s="760"/>
    </row>
    <row r="2" spans="1:22" s="2062" customFormat="1" ht="15.6">
      <c r="A2" s="2110" t="s">
        <v>1750</v>
      </c>
      <c r="B2" s="2111"/>
      <c r="C2" s="2111"/>
      <c r="D2" s="2111"/>
      <c r="E2" s="2111"/>
      <c r="F2" s="2111"/>
      <c r="G2" s="2111"/>
      <c r="H2" s="2111"/>
      <c r="I2" s="2112"/>
      <c r="J2" s="2064"/>
      <c r="K2" s="2064"/>
      <c r="L2" s="2064"/>
      <c r="M2" s="2064"/>
      <c r="N2" s="2064"/>
      <c r="O2" s="2064"/>
      <c r="P2" s="2064"/>
      <c r="Q2" s="2064"/>
    </row>
    <row r="3" spans="1:22" ht="6.75" hidden="1" customHeight="1">
      <c r="A3" s="759"/>
      <c r="B3" s="1168"/>
      <c r="C3" s="1168"/>
      <c r="D3" s="1168"/>
      <c r="E3" s="1168"/>
      <c r="F3" s="1168"/>
      <c r="G3" s="1168"/>
      <c r="H3" s="1168"/>
      <c r="I3" s="1174"/>
    </row>
    <row r="4" spans="1:22" s="17" customFormat="1" ht="15.6" hidden="1">
      <c r="A4" s="105" t="s">
        <v>874</v>
      </c>
      <c r="B4" s="105"/>
      <c r="C4" s="105"/>
      <c r="D4" s="750"/>
      <c r="E4" s="1163"/>
      <c r="F4" s="1163"/>
      <c r="G4" s="1163"/>
      <c r="H4" s="1163"/>
      <c r="I4" s="749"/>
      <c r="M4" s="749"/>
      <c r="N4" s="749"/>
      <c r="S4" s="79"/>
      <c r="T4" s="750"/>
      <c r="U4" s="749"/>
      <c r="V4" s="1986" t="s">
        <v>1061</v>
      </c>
    </row>
    <row r="5" spans="1:22" s="17" customFormat="1" ht="42" hidden="1">
      <c r="A5" s="1988" t="s">
        <v>389</v>
      </c>
      <c r="B5" s="1177"/>
      <c r="C5" s="1178"/>
      <c r="D5" s="1948" t="s">
        <v>1734</v>
      </c>
      <c r="E5" s="1180" t="s">
        <v>1129</v>
      </c>
      <c r="F5" s="1181"/>
      <c r="G5" s="1182" t="s">
        <v>1126</v>
      </c>
      <c r="H5" s="1183"/>
      <c r="I5" s="1195"/>
      <c r="M5" s="749"/>
      <c r="N5" s="749"/>
      <c r="P5" s="79"/>
      <c r="S5" s="80"/>
      <c r="T5" s="750"/>
      <c r="U5" s="749"/>
      <c r="V5" s="1116"/>
    </row>
    <row r="6" spans="1:22" s="17" customFormat="1" ht="15.6" hidden="1">
      <c r="A6" s="1987"/>
      <c r="B6" s="318"/>
      <c r="C6" s="1196"/>
      <c r="D6" s="1185" t="s">
        <v>1289</v>
      </c>
      <c r="E6" s="1186"/>
      <c r="F6" s="1187"/>
      <c r="G6" s="1188" t="s">
        <v>1127</v>
      </c>
      <c r="H6" s="1162" t="s">
        <v>1122</v>
      </c>
      <c r="I6" s="1195"/>
      <c r="M6" s="6"/>
      <c r="N6" s="6"/>
      <c r="S6" s="815">
        <v>13.558419429650773</v>
      </c>
      <c r="T6" s="193">
        <v>31984.329000000002</v>
      </c>
      <c r="U6" s="2055">
        <v>22941.249</v>
      </c>
      <c r="V6" s="1117">
        <v>21.369630150413656</v>
      </c>
    </row>
    <row r="7" spans="1:22" s="17" customFormat="1" ht="15.6" hidden="1">
      <c r="A7" s="1200" t="s">
        <v>1107</v>
      </c>
      <c r="B7" s="105"/>
      <c r="C7" s="1184"/>
      <c r="D7" s="1190">
        <v>22851.354319999999</v>
      </c>
      <c r="E7" s="1191">
        <v>13.558419429650773</v>
      </c>
      <c r="F7" s="1192"/>
      <c r="G7" s="2106">
        <v>14</v>
      </c>
      <c r="H7" s="2107">
        <v>6.6</v>
      </c>
      <c r="I7" s="1200"/>
      <c r="M7" s="6"/>
      <c r="N7" s="6"/>
      <c r="S7" s="815">
        <v>86.441580570349231</v>
      </c>
      <c r="T7" s="193">
        <v>123663.1</v>
      </c>
      <c r="U7" s="2055">
        <v>141563.78</v>
      </c>
      <c r="V7" s="6"/>
    </row>
    <row r="8" spans="1:22" s="17" customFormat="1" ht="15.6" hidden="1">
      <c r="A8" s="1200" t="s">
        <v>875</v>
      </c>
      <c r="B8" s="105"/>
      <c r="C8" s="1184"/>
      <c r="D8" s="1190">
        <v>145688.603</v>
      </c>
      <c r="E8" s="1191">
        <v>86.441580570349231</v>
      </c>
      <c r="F8" s="1184"/>
      <c r="G8" s="2106">
        <v>92</v>
      </c>
      <c r="H8" s="2107">
        <v>42.4</v>
      </c>
      <c r="I8" s="1200"/>
      <c r="M8" s="6"/>
      <c r="N8" s="6"/>
      <c r="S8" s="815">
        <v>100</v>
      </c>
      <c r="T8" s="193">
        <v>155647.429</v>
      </c>
      <c r="U8" s="2055">
        <v>164505.02900000001</v>
      </c>
      <c r="V8" s="6"/>
    </row>
    <row r="9" spans="1:22" ht="15.6" hidden="1">
      <c r="A9" s="1201" t="s">
        <v>158</v>
      </c>
      <c r="B9" s="318"/>
      <c r="C9" s="1196"/>
      <c r="D9" s="1197">
        <v>168539.95731999999</v>
      </c>
      <c r="E9" s="1198">
        <v>100</v>
      </c>
      <c r="F9" s="1196"/>
      <c r="G9" s="2108">
        <v>106</v>
      </c>
      <c r="H9" s="2108">
        <v>49</v>
      </c>
      <c r="I9" s="1200"/>
    </row>
    <row r="10" spans="1:22" ht="18" hidden="1" customHeight="1">
      <c r="A10" s="2056" t="s">
        <v>1684</v>
      </c>
      <c r="B10" s="2057"/>
      <c r="C10" s="2057"/>
      <c r="D10" s="2057"/>
      <c r="E10" s="2057"/>
      <c r="F10" s="2057"/>
      <c r="G10" s="2057"/>
      <c r="H10" s="2057"/>
      <c r="I10" s="2058"/>
    </row>
    <row r="11" spans="1:22" ht="16.2" hidden="1">
      <c r="A11" s="2056" t="s">
        <v>1133</v>
      </c>
      <c r="B11" s="2059"/>
      <c r="C11" s="2059"/>
      <c r="D11" s="2060"/>
      <c r="E11" s="2061"/>
      <c r="F11" s="2059"/>
      <c r="G11" s="2057"/>
      <c r="H11" s="2057"/>
      <c r="I11" s="2058"/>
      <c r="J11" s="757"/>
      <c r="K11" s="757"/>
      <c r="L11" s="757"/>
      <c r="M11" s="757"/>
      <c r="N11" s="757"/>
    </row>
    <row r="12" spans="1:22" ht="15.6" hidden="1">
      <c r="A12" s="2056" t="s">
        <v>1134</v>
      </c>
      <c r="B12" s="2059"/>
      <c r="C12" s="2059"/>
      <c r="D12" s="2060"/>
      <c r="E12" s="2061"/>
      <c r="F12" s="2059"/>
      <c r="G12" s="2057"/>
      <c r="H12" s="2057"/>
      <c r="I12" s="2058"/>
      <c r="J12" s="757"/>
      <c r="K12" s="757"/>
      <c r="L12" s="757"/>
      <c r="M12" s="757"/>
      <c r="N12" s="757"/>
    </row>
    <row r="13" spans="1:22" s="763" customFormat="1" ht="6.75" hidden="1" customHeight="1">
      <c r="A13" s="443"/>
      <c r="B13" s="1167"/>
      <c r="C13" s="1167"/>
      <c r="D13" s="1167"/>
      <c r="E13" s="1167"/>
      <c r="F13" s="1167"/>
      <c r="G13" s="1167"/>
      <c r="H13" s="1167"/>
      <c r="I13" s="1174"/>
    </row>
    <row r="14" spans="1:22" s="763" customFormat="1" ht="124.8" hidden="1">
      <c r="A14" s="1160" t="s">
        <v>1654</v>
      </c>
      <c r="B14" s="1170"/>
      <c r="C14" s="1161"/>
      <c r="D14" s="1161"/>
      <c r="E14" s="1161"/>
      <c r="F14" s="1161"/>
      <c r="I14" s="1174"/>
      <c r="P14" s="2100"/>
    </row>
    <row r="15" spans="1:22" s="763" customFormat="1" ht="15.6">
      <c r="A15" s="1160"/>
      <c r="B15" s="1170"/>
      <c r="C15" s="1161"/>
      <c r="D15" s="1161"/>
      <c r="E15" s="1161"/>
      <c r="F15" s="1161"/>
      <c r="I15" s="1174"/>
      <c r="P15" s="2100"/>
      <c r="Q15" s="1159" t="s">
        <v>1499</v>
      </c>
    </row>
    <row r="16" spans="1:22" s="776" customFormat="1" ht="66" customHeight="1">
      <c r="A16" s="2947" t="s">
        <v>764</v>
      </c>
      <c r="B16" s="2947" t="s">
        <v>765</v>
      </c>
      <c r="C16" s="1162" t="s">
        <v>867</v>
      </c>
      <c r="D16" s="1162"/>
      <c r="E16" s="1162"/>
      <c r="F16" s="2101" t="s">
        <v>1117</v>
      </c>
      <c r="G16" s="2101"/>
      <c r="H16" s="2101"/>
      <c r="I16" s="2065" t="s">
        <v>1736</v>
      </c>
      <c r="J16" s="2065"/>
      <c r="K16" s="2065"/>
      <c r="L16" s="2074" t="s">
        <v>1737</v>
      </c>
      <c r="M16" s="2074"/>
      <c r="N16" s="2074"/>
      <c r="O16" s="2109" t="s">
        <v>1751</v>
      </c>
      <c r="P16" s="2065"/>
      <c r="Q16" s="2065"/>
      <c r="R16" s="1175"/>
    </row>
    <row r="17" spans="1:25" s="776" customFormat="1" ht="33" customHeight="1">
      <c r="A17" s="2948"/>
      <c r="B17" s="2948"/>
      <c r="C17" s="1162" t="s">
        <v>857</v>
      </c>
      <c r="D17" s="1162" t="s">
        <v>1122</v>
      </c>
      <c r="E17" s="1162" t="s">
        <v>279</v>
      </c>
      <c r="F17" s="2101" t="s">
        <v>857</v>
      </c>
      <c r="G17" s="2101" t="s">
        <v>1122</v>
      </c>
      <c r="H17" s="2101" t="s">
        <v>279</v>
      </c>
      <c r="I17" s="2065" t="s">
        <v>857</v>
      </c>
      <c r="J17" s="2065" t="s">
        <v>1123</v>
      </c>
      <c r="K17" s="2065" t="s">
        <v>279</v>
      </c>
      <c r="L17" s="2065" t="s">
        <v>857</v>
      </c>
      <c r="M17" s="2065" t="s">
        <v>1123</v>
      </c>
      <c r="N17" s="2065" t="s">
        <v>279</v>
      </c>
      <c r="O17" s="2065" t="s">
        <v>857</v>
      </c>
      <c r="P17" s="2065" t="s">
        <v>1128</v>
      </c>
      <c r="Q17" s="2065" t="s">
        <v>279</v>
      </c>
      <c r="R17" s="1175"/>
    </row>
    <row r="18" spans="1:25" s="776" customFormat="1" ht="31.2">
      <c r="A18" s="772" t="s">
        <v>858</v>
      </c>
      <c r="B18" s="773" t="s">
        <v>859</v>
      </c>
      <c r="C18" s="2068">
        <v>93</v>
      </c>
      <c r="D18" s="2068">
        <v>48</v>
      </c>
      <c r="E18" s="2068">
        <v>141</v>
      </c>
      <c r="F18" s="2102">
        <v>6</v>
      </c>
      <c r="G18" s="2102">
        <v>1</v>
      </c>
      <c r="H18" s="2102">
        <v>7</v>
      </c>
      <c r="I18" s="2069">
        <v>7</v>
      </c>
      <c r="J18" s="465">
        <v>0</v>
      </c>
      <c r="K18" s="2069">
        <v>7</v>
      </c>
      <c r="L18" s="2069">
        <v>106</v>
      </c>
      <c r="M18" s="2069">
        <v>49</v>
      </c>
      <c r="N18" s="2069">
        <v>155</v>
      </c>
      <c r="O18" s="2069">
        <v>1</v>
      </c>
      <c r="P18" s="465">
        <v>0</v>
      </c>
      <c r="Q18" s="2069">
        <v>1</v>
      </c>
      <c r="R18" s="1173"/>
    </row>
    <row r="19" spans="1:25" s="776" customFormat="1" ht="29.25" customHeight="1">
      <c r="A19" s="772" t="s">
        <v>860</v>
      </c>
      <c r="B19" s="773" t="s">
        <v>84</v>
      </c>
      <c r="C19" s="2070">
        <v>26896.128000000001</v>
      </c>
      <c r="D19" s="2070">
        <v>12842.291999999999</v>
      </c>
      <c r="E19" s="2070">
        <v>39738.42</v>
      </c>
      <c r="F19" s="2103">
        <v>353.65330999999998</v>
      </c>
      <c r="G19" s="2103">
        <v>122.33935</v>
      </c>
      <c r="H19" s="2103">
        <v>475.99266</v>
      </c>
      <c r="I19" s="2071">
        <v>1299.0096000000001</v>
      </c>
      <c r="J19" s="465">
        <v>0</v>
      </c>
      <c r="K19" s="2071">
        <v>1299.0096000000001</v>
      </c>
      <c r="L19" s="2071">
        <v>28548.790910000003</v>
      </c>
      <c r="M19" s="2071">
        <v>12964.63135</v>
      </c>
      <c r="N19" s="2071">
        <v>41513.422260000007</v>
      </c>
      <c r="O19" s="2071">
        <v>185.5728</v>
      </c>
      <c r="P19" s="465">
        <v>0</v>
      </c>
      <c r="Q19" s="2071">
        <v>185.5728</v>
      </c>
      <c r="R19" s="1173"/>
    </row>
    <row r="20" spans="1:25" s="776" customFormat="1" ht="28.5" customHeight="1">
      <c r="A20" s="772" t="s">
        <v>861</v>
      </c>
      <c r="B20" s="773" t="s">
        <v>225</v>
      </c>
      <c r="C20" s="779">
        <v>24100.47</v>
      </c>
      <c r="D20" s="779">
        <v>22295.65</v>
      </c>
      <c r="E20" s="779">
        <v>23486.06</v>
      </c>
      <c r="F20" s="2104">
        <v>4911.8500000000004</v>
      </c>
      <c r="G20" s="2104">
        <v>10194.950000000001</v>
      </c>
      <c r="H20" s="2104">
        <v>5666.58</v>
      </c>
      <c r="I20" s="2066">
        <v>15464.4</v>
      </c>
      <c r="J20" s="2118">
        <v>0</v>
      </c>
      <c r="K20" s="2066">
        <v>15464.4</v>
      </c>
      <c r="L20" s="2066">
        <v>22444.02</v>
      </c>
      <c r="M20" s="2066">
        <v>22048.69</v>
      </c>
      <c r="N20" s="2066">
        <v>22319.040000000001</v>
      </c>
      <c r="O20" s="2066">
        <v>15464.4</v>
      </c>
      <c r="P20" s="2118">
        <v>0</v>
      </c>
      <c r="Q20" s="2066">
        <v>15464.4</v>
      </c>
      <c r="R20" s="1173"/>
    </row>
    <row r="21" spans="1:25" s="776" customFormat="1" ht="29.25" customHeight="1">
      <c r="A21" s="772" t="s">
        <v>1752</v>
      </c>
      <c r="B21" s="773" t="s">
        <v>84</v>
      </c>
      <c r="C21" s="2070">
        <v>13603.944000000001</v>
      </c>
      <c r="D21" s="2070">
        <v>3993.1200000000008</v>
      </c>
      <c r="E21" s="2070">
        <v>17597.064000000002</v>
      </c>
      <c r="F21" s="2103">
        <v>49.776749999999993</v>
      </c>
      <c r="G21" s="2103">
        <v>20.395710000000001</v>
      </c>
      <c r="H21" s="2103">
        <v>70.172460000000001</v>
      </c>
      <c r="I21" s="2071">
        <v>422.60462999999999</v>
      </c>
      <c r="J21" s="465">
        <v>0</v>
      </c>
      <c r="K21" s="2071">
        <v>422.60462999999999</v>
      </c>
      <c r="L21" s="2071">
        <v>14076.32538</v>
      </c>
      <c r="M21" s="2071">
        <v>4013.5157100000006</v>
      </c>
      <c r="N21" s="2071">
        <v>18089.841090000002</v>
      </c>
      <c r="O21" s="2071">
        <v>60.372120000000002</v>
      </c>
      <c r="P21" s="465">
        <v>0</v>
      </c>
      <c r="Q21" s="2071">
        <v>60.372120000000002</v>
      </c>
      <c r="R21" s="1173"/>
    </row>
    <row r="22" spans="1:25" s="776" customFormat="1" ht="47.25" customHeight="1">
      <c r="A22" s="772" t="s">
        <v>244</v>
      </c>
      <c r="B22" s="773" t="s">
        <v>225</v>
      </c>
      <c r="C22" s="779">
        <v>12189.91</v>
      </c>
      <c r="D22" s="779">
        <v>6932.5</v>
      </c>
      <c r="E22" s="779">
        <v>10400.16</v>
      </c>
      <c r="F22" s="2104">
        <v>691.34</v>
      </c>
      <c r="G22" s="2104">
        <v>1699.64</v>
      </c>
      <c r="H22" s="2104">
        <v>835.39</v>
      </c>
      <c r="I22" s="2066">
        <v>5031.01</v>
      </c>
      <c r="J22" s="2118">
        <v>0</v>
      </c>
      <c r="K22" s="2066">
        <v>5031.01</v>
      </c>
      <c r="L22" s="2066">
        <v>11066.29</v>
      </c>
      <c r="M22" s="2066">
        <v>6825.71</v>
      </c>
      <c r="N22" s="2066">
        <v>9725.7199999999993</v>
      </c>
      <c r="O22" s="2066">
        <v>5031.01</v>
      </c>
      <c r="P22" s="2118">
        <v>0</v>
      </c>
      <c r="Q22" s="2066">
        <v>5031.01</v>
      </c>
      <c r="R22" s="1173"/>
    </row>
    <row r="23" spans="1:25" s="776" customFormat="1" ht="26.25" customHeight="1">
      <c r="A23" s="772" t="s">
        <v>862</v>
      </c>
      <c r="B23" s="773" t="s">
        <v>87</v>
      </c>
      <c r="C23" s="779">
        <v>50.58</v>
      </c>
      <c r="D23" s="779">
        <v>31.09</v>
      </c>
      <c r="E23" s="779">
        <v>44.28</v>
      </c>
      <c r="F23" s="2104">
        <v>14.08</v>
      </c>
      <c r="G23" s="2104">
        <v>16.670000000000002</v>
      </c>
      <c r="H23" s="2104">
        <v>14.74</v>
      </c>
      <c r="I23" s="2066">
        <v>32.53</v>
      </c>
      <c r="J23" s="2118">
        <v>0</v>
      </c>
      <c r="K23" s="2066">
        <v>32.53</v>
      </c>
      <c r="L23" s="2066">
        <v>49.31</v>
      </c>
      <c r="M23" s="2066">
        <v>30.96</v>
      </c>
      <c r="N23" s="2066">
        <v>43.58</v>
      </c>
      <c r="O23" s="2066">
        <v>32.53</v>
      </c>
      <c r="P23" s="2118">
        <v>0</v>
      </c>
      <c r="Q23" s="2066">
        <v>32.53</v>
      </c>
      <c r="R23" s="1173"/>
    </row>
    <row r="24" spans="1:25" s="776" customFormat="1" ht="21.75" customHeight="1">
      <c r="A24" s="772" t="s">
        <v>1682</v>
      </c>
      <c r="B24" s="773" t="s">
        <v>84</v>
      </c>
      <c r="C24" s="2070">
        <v>5342.7300000000032</v>
      </c>
      <c r="D24" s="2070">
        <v>3739.1129999999998</v>
      </c>
      <c r="E24" s="2070">
        <v>9081.8430000000026</v>
      </c>
      <c r="F24" s="2103">
        <v>18.651520000000001</v>
      </c>
      <c r="G24" s="2103">
        <v>27.184889999999999</v>
      </c>
      <c r="H24" s="2103">
        <v>45.836410000000001</v>
      </c>
      <c r="I24" s="2071">
        <v>246.70044000000004</v>
      </c>
      <c r="J24" s="465">
        <v>0</v>
      </c>
      <c r="K24" s="2071">
        <v>246.70044000000004</v>
      </c>
      <c r="L24" s="2071">
        <v>5608.0819600000032</v>
      </c>
      <c r="M24" s="2071">
        <v>3766.2978899999998</v>
      </c>
      <c r="N24" s="2071">
        <v>9374.379850000003</v>
      </c>
      <c r="O24" s="2071">
        <v>52.906440000000003</v>
      </c>
      <c r="P24" s="465">
        <v>0</v>
      </c>
      <c r="Q24" s="2071">
        <v>52.906440000000003</v>
      </c>
      <c r="R24" s="1173"/>
    </row>
    <row r="25" spans="1:25" s="776" customFormat="1" ht="21.75" customHeight="1">
      <c r="A25" s="772" t="s">
        <v>1683</v>
      </c>
      <c r="B25" s="773" t="s">
        <v>225</v>
      </c>
      <c r="C25" s="779">
        <v>4787.3900000000003</v>
      </c>
      <c r="D25" s="779">
        <v>6491.52</v>
      </c>
      <c r="E25" s="779">
        <v>5367.52</v>
      </c>
      <c r="F25" s="2104">
        <v>259.05</v>
      </c>
      <c r="G25" s="2104">
        <v>2265.41</v>
      </c>
      <c r="H25" s="2104">
        <v>545.66999999999996</v>
      </c>
      <c r="I25" s="2066">
        <v>2936.91</v>
      </c>
      <c r="J25" s="465">
        <v>0</v>
      </c>
      <c r="K25" s="2066">
        <v>2936.91</v>
      </c>
      <c r="L25" s="2066">
        <v>4408.87</v>
      </c>
      <c r="M25" s="2066">
        <v>6405.27</v>
      </c>
      <c r="N25" s="2066">
        <v>5039.99</v>
      </c>
      <c r="O25" s="2066">
        <v>4408.87</v>
      </c>
      <c r="P25" s="465">
        <v>0</v>
      </c>
      <c r="Q25" s="2066">
        <v>5039.99</v>
      </c>
      <c r="R25" s="1173"/>
      <c r="S25" s="776">
        <v>18809.616000000002</v>
      </c>
      <c r="T25" s="776">
        <v>0</v>
      </c>
      <c r="U25" s="1128">
        <v>4019.5453719130314</v>
      </c>
    </row>
    <row r="26" spans="1:25" s="776" customFormat="1" ht="31.2">
      <c r="A26" s="772" t="s">
        <v>1735</v>
      </c>
      <c r="B26" s="773" t="s">
        <v>87</v>
      </c>
      <c r="C26" s="779">
        <v>19.86</v>
      </c>
      <c r="D26" s="779">
        <v>29.12</v>
      </c>
      <c r="E26" s="779">
        <v>22.85</v>
      </c>
      <c r="F26" s="2104">
        <v>5.27</v>
      </c>
      <c r="G26" s="2104">
        <v>22.22</v>
      </c>
      <c r="H26" s="2104">
        <v>9.6300000000000008</v>
      </c>
      <c r="I26" s="2066">
        <v>18.989999999999998</v>
      </c>
      <c r="J26" s="465">
        <v>0</v>
      </c>
      <c r="K26" s="2066">
        <v>18.989999999999998</v>
      </c>
      <c r="L26" s="2066">
        <v>19.64</v>
      </c>
      <c r="M26" s="2066">
        <v>29.05</v>
      </c>
      <c r="N26" s="2066">
        <v>22.58</v>
      </c>
      <c r="O26" s="2066">
        <v>28.51</v>
      </c>
      <c r="P26" s="465">
        <v>0</v>
      </c>
      <c r="Q26" s="2066">
        <v>32.590000000000003</v>
      </c>
      <c r="R26" s="1173"/>
      <c r="S26" s="1128">
        <v>119.880309825</v>
      </c>
    </row>
    <row r="27" spans="1:25" ht="20.25" customHeight="1">
      <c r="A27" s="780" t="s">
        <v>865</v>
      </c>
      <c r="B27" s="781" t="s">
        <v>84</v>
      </c>
      <c r="C27" s="2072">
        <v>45842.802000000003</v>
      </c>
      <c r="D27" s="2072">
        <v>20574.525000000001</v>
      </c>
      <c r="E27" s="2072">
        <v>66417.327000000005</v>
      </c>
      <c r="F27" s="2105">
        <v>422.08157999999997</v>
      </c>
      <c r="G27" s="2105">
        <v>169.91995</v>
      </c>
      <c r="H27" s="2105">
        <v>592.00153</v>
      </c>
      <c r="I27" s="2073">
        <v>1968.3146700000002</v>
      </c>
      <c r="J27" s="1655">
        <v>0</v>
      </c>
      <c r="K27" s="2073">
        <v>1968.3146700000002</v>
      </c>
      <c r="L27" s="2073">
        <v>48233.198250000009</v>
      </c>
      <c r="M27" s="2073">
        <v>20744.444949999997</v>
      </c>
      <c r="N27" s="2073">
        <v>68977.643200000006</v>
      </c>
      <c r="O27" s="2073">
        <v>298.85136</v>
      </c>
      <c r="P27" s="1655">
        <v>0</v>
      </c>
      <c r="Q27" s="2073">
        <v>298.85136</v>
      </c>
      <c r="R27" s="1173"/>
      <c r="S27" s="1154">
        <v>24904.28</v>
      </c>
      <c r="T27" s="1154">
        <v>0</v>
      </c>
      <c r="U27" s="1154">
        <v>25535.4</v>
      </c>
      <c r="Y27" s="1124"/>
    </row>
    <row r="28" spans="1:25" ht="31.5" customHeight="1">
      <c r="A28" s="772" t="s">
        <v>866</v>
      </c>
      <c r="B28" s="773" t="s">
        <v>225</v>
      </c>
      <c r="C28" s="779">
        <v>41077.779569892475</v>
      </c>
      <c r="D28" s="779">
        <v>35719.661458333336</v>
      </c>
      <c r="E28" s="779">
        <v>39253.739361702137</v>
      </c>
      <c r="F28" s="2104">
        <v>5862.2441666666664</v>
      </c>
      <c r="G28" s="2104">
        <v>14159.995833333334</v>
      </c>
      <c r="H28" s="2104">
        <v>7047.6372619047625</v>
      </c>
      <c r="I28" s="2066">
        <v>23432.317500000001</v>
      </c>
      <c r="J28" s="465">
        <v>0</v>
      </c>
      <c r="K28" s="2066">
        <v>23432.317500000001</v>
      </c>
      <c r="L28" s="2066">
        <v>37919.181014150949</v>
      </c>
      <c r="M28" s="2066">
        <v>35279.668282312916</v>
      </c>
      <c r="N28" s="2066">
        <v>37084.754408602152</v>
      </c>
      <c r="O28" s="2066">
        <v>24904.28</v>
      </c>
      <c r="P28" s="465">
        <v>0</v>
      </c>
      <c r="Q28" s="2066">
        <v>25535.4</v>
      </c>
      <c r="R28" s="1173"/>
      <c r="S28" s="758">
        <v>9352.2781777439868</v>
      </c>
    </row>
    <row r="29" spans="1:25" ht="31.5" customHeight="1">
      <c r="A29" s="2113"/>
      <c r="B29" s="2114"/>
      <c r="C29" s="2115"/>
      <c r="D29" s="2115"/>
      <c r="E29" s="2115"/>
      <c r="F29" s="2116"/>
      <c r="G29" s="2116"/>
      <c r="H29" s="2116"/>
      <c r="I29" s="2117"/>
      <c r="J29" s="2117"/>
      <c r="K29" s="2117"/>
      <c r="L29" s="2117"/>
      <c r="M29" s="2117"/>
      <c r="N29" s="2117"/>
      <c r="O29" s="2117"/>
      <c r="P29" s="2117"/>
      <c r="Q29" s="2117"/>
      <c r="R29" s="1173"/>
    </row>
    <row r="30" spans="1:25">
      <c r="A30" s="51"/>
      <c r="B30" s="1169"/>
      <c r="C30" s="1169"/>
      <c r="D30" s="1169"/>
      <c r="E30" s="1169"/>
      <c r="F30" s="1169"/>
      <c r="G30" s="1169"/>
      <c r="H30" s="1169"/>
      <c r="I30" s="1174"/>
    </row>
    <row r="31" spans="1:25">
      <c r="A31" s="51"/>
      <c r="B31" s="1169"/>
      <c r="C31" s="1169"/>
      <c r="D31" s="1169"/>
      <c r="E31" s="1169"/>
      <c r="F31" s="1169"/>
      <c r="G31" s="1169"/>
      <c r="H31" s="1169"/>
      <c r="I31" s="1174"/>
    </row>
    <row r="32" spans="1:25">
      <c r="B32" s="1169"/>
      <c r="C32" s="1169"/>
      <c r="D32" s="1169"/>
      <c r="E32" s="1169"/>
      <c r="F32" s="1169"/>
      <c r="G32" s="1169"/>
      <c r="H32" s="1169"/>
      <c r="I32" s="1174"/>
    </row>
    <row r="33" spans="2:9">
      <c r="B33" s="1169"/>
      <c r="C33" s="1169"/>
      <c r="D33" s="1169"/>
      <c r="E33" s="1169"/>
      <c r="F33" s="1169"/>
      <c r="G33" s="1169"/>
      <c r="H33" s="1169"/>
      <c r="I33" s="1174"/>
    </row>
  </sheetData>
  <mergeCells count="2">
    <mergeCell ref="A16:A17"/>
    <mergeCell ref="B16:B17"/>
  </mergeCells>
  <printOptions horizontalCentered="1"/>
  <pageMargins left="0.78740157480314965" right="0.78740157480314965" top="0.70866141732283472" bottom="0.11811023622047245" header="0.51181102362204722" footer="3.937007874015748E-2"/>
  <pageSetup paperSize="9" scale="83" orientation="landscape" r:id="rId1"/>
  <headerFooter alignWithMargins="0"/>
  <colBreaks count="1" manualBreakCount="1">
    <brk id="17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0000"/>
  </sheetPr>
  <dimension ref="A1:Y35"/>
  <sheetViews>
    <sheetView zoomScaleNormal="100" workbookViewId="0">
      <selection activeCell="C28" sqref="C28:C30"/>
    </sheetView>
  </sheetViews>
  <sheetFormatPr defaultColWidth="9.109375" defaultRowHeight="13.2"/>
  <cols>
    <col min="1" max="1" width="54.109375" style="758" customWidth="1"/>
    <col min="2" max="2" width="9.88671875" style="758" customWidth="1"/>
    <col min="3" max="8" width="11" style="758" customWidth="1"/>
    <col min="9" max="9" width="16.33203125" style="757" customWidth="1"/>
    <col min="10" max="14" width="9.109375" style="757"/>
    <col min="15" max="16384" width="9.109375" style="758"/>
  </cols>
  <sheetData>
    <row r="1" spans="1:25" ht="21" customHeight="1">
      <c r="A1" s="755" t="s">
        <v>1824</v>
      </c>
      <c r="B1" s="487"/>
      <c r="C1" s="756"/>
      <c r="D1" s="756"/>
      <c r="E1" s="756"/>
      <c r="F1" s="756"/>
      <c r="G1" s="756"/>
      <c r="H1" s="756"/>
    </row>
    <row r="2" spans="1:25" ht="21" customHeight="1">
      <c r="A2" s="759" t="s">
        <v>870</v>
      </c>
      <c r="B2" s="755"/>
      <c r="C2" s="756"/>
      <c r="D2" s="756"/>
      <c r="E2" s="756"/>
      <c r="F2" s="756"/>
      <c r="G2" s="756"/>
      <c r="H2" s="756"/>
    </row>
    <row r="3" spans="1:25" ht="20.25" customHeight="1">
      <c r="A3" s="759" t="s">
        <v>1135</v>
      </c>
      <c r="B3" s="760"/>
      <c r="C3" s="760"/>
      <c r="D3" s="760"/>
      <c r="E3" s="760"/>
      <c r="F3" s="760"/>
      <c r="G3" s="760"/>
      <c r="H3" s="760"/>
    </row>
    <row r="4" spans="1:25" ht="11.25" customHeight="1">
      <c r="A4" s="759"/>
      <c r="B4" s="760"/>
      <c r="C4" s="760"/>
      <c r="D4" s="760"/>
      <c r="E4" s="760"/>
      <c r="F4" s="760"/>
      <c r="G4" s="760"/>
      <c r="H4" s="760"/>
    </row>
    <row r="5" spans="1:25" s="17" customFormat="1" ht="15.6">
      <c r="A5" s="105" t="s">
        <v>874</v>
      </c>
      <c r="B5" s="105"/>
      <c r="C5" s="105"/>
      <c r="D5" s="750"/>
      <c r="E5" s="1163"/>
      <c r="F5" s="1163"/>
      <c r="G5" s="1163"/>
      <c r="H5" s="1163"/>
      <c r="I5" s="1163"/>
      <c r="J5" s="749"/>
      <c r="K5" s="749"/>
      <c r="L5" s="749"/>
      <c r="M5" s="749"/>
      <c r="N5" s="749"/>
      <c r="O5" s="750"/>
      <c r="P5" s="749"/>
      <c r="Q5" s="1117" t="s">
        <v>1061</v>
      </c>
      <c r="R5" s="749"/>
      <c r="S5" s="749"/>
      <c r="X5" s="79"/>
      <c r="Y5" s="527"/>
    </row>
    <row r="6" spans="1:25" s="17" customFormat="1" ht="15.6">
      <c r="A6" s="1988" t="s">
        <v>389</v>
      </c>
      <c r="B6" s="1177"/>
      <c r="C6" s="1178"/>
      <c r="D6" s="1179" t="s">
        <v>1130</v>
      </c>
      <c r="E6" s="1180" t="s">
        <v>1129</v>
      </c>
      <c r="F6" s="1181"/>
      <c r="G6" s="1182" t="s">
        <v>1126</v>
      </c>
      <c r="H6" s="1183"/>
      <c r="I6" s="1163"/>
      <c r="J6" s="749"/>
      <c r="K6" s="749"/>
      <c r="L6" s="749"/>
      <c r="M6" s="749"/>
      <c r="N6" s="749"/>
      <c r="O6" s="750"/>
      <c r="P6" s="749"/>
      <c r="Q6" s="1117"/>
      <c r="R6" s="749"/>
      <c r="S6" s="749"/>
      <c r="X6" s="79"/>
      <c r="Y6" s="527"/>
    </row>
    <row r="7" spans="1:25" s="17" customFormat="1" ht="15.6">
      <c r="A7" s="1195"/>
      <c r="B7" s="105"/>
      <c r="C7" s="1184"/>
      <c r="D7" s="1185" t="s">
        <v>873</v>
      </c>
      <c r="E7" s="1186"/>
      <c r="F7" s="1187"/>
      <c r="G7" s="1188" t="s">
        <v>1127</v>
      </c>
      <c r="H7" s="1189" t="s">
        <v>1128</v>
      </c>
      <c r="I7" s="94"/>
      <c r="O7" s="750"/>
      <c r="P7" s="749"/>
      <c r="Q7" s="1116"/>
      <c r="R7" s="749"/>
      <c r="S7" s="749"/>
      <c r="U7" s="79"/>
      <c r="X7" s="80"/>
      <c r="Y7" s="527"/>
    </row>
    <row r="8" spans="1:25" s="17" customFormat="1" ht="15.6">
      <c r="A8" s="1200" t="s">
        <v>1107</v>
      </c>
      <c r="B8" s="105"/>
      <c r="C8" s="1184"/>
      <c r="D8" s="2635">
        <v>404.79700000000003</v>
      </c>
      <c r="E8" s="1191">
        <v>17.307915137568589</v>
      </c>
      <c r="F8" s="1192"/>
      <c r="G8" s="1193">
        <v>1</v>
      </c>
      <c r="H8" s="1194">
        <v>0.2</v>
      </c>
      <c r="I8" s="94"/>
      <c r="O8" s="193">
        <v>31984.329000000002</v>
      </c>
      <c r="P8" s="555">
        <v>20.549217680942228</v>
      </c>
      <c r="Q8" s="1117">
        <v>21.369630150413656</v>
      </c>
      <c r="R8" s="6"/>
      <c r="S8" s="6"/>
      <c r="X8" s="815">
        <v>17.307915137568589</v>
      </c>
      <c r="Y8" s="527"/>
    </row>
    <row r="9" spans="1:25" s="17" customFormat="1" ht="15.6">
      <c r="A9" s="1200" t="s">
        <v>875</v>
      </c>
      <c r="B9" s="105"/>
      <c r="C9" s="1184"/>
      <c r="D9" s="2635">
        <v>1934</v>
      </c>
      <c r="E9" s="1191">
        <v>82.692084862431415</v>
      </c>
      <c r="F9" s="1184"/>
      <c r="G9" s="1193">
        <v>5</v>
      </c>
      <c r="H9" s="1194">
        <v>0.8</v>
      </c>
      <c r="I9" s="94"/>
      <c r="O9" s="193">
        <v>123663.1</v>
      </c>
      <c r="Q9" s="6"/>
      <c r="R9" s="6"/>
      <c r="S9" s="6"/>
      <c r="X9" s="815">
        <v>82.692084862431415</v>
      </c>
      <c r="Y9" s="527"/>
    </row>
    <row r="10" spans="1:25" s="17" customFormat="1" ht="15.6" hidden="1">
      <c r="A10" s="1195"/>
      <c r="B10" s="105"/>
      <c r="C10" s="1164"/>
      <c r="D10" s="301"/>
      <c r="E10" s="1195"/>
      <c r="F10" s="1184"/>
      <c r="G10" s="1176"/>
      <c r="H10" s="1176"/>
      <c r="I10" s="94"/>
      <c r="O10" s="193">
        <v>155647.429</v>
      </c>
      <c r="Q10" s="6"/>
      <c r="R10" s="6"/>
      <c r="S10" s="6"/>
      <c r="X10" s="815">
        <v>100</v>
      </c>
      <c r="Y10" s="527"/>
    </row>
    <row r="11" spans="1:25" ht="15.6">
      <c r="A11" s="1201" t="s">
        <v>158</v>
      </c>
      <c r="B11" s="318"/>
      <c r="C11" s="1196"/>
      <c r="D11" s="1197">
        <v>2338.797</v>
      </c>
      <c r="E11" s="1198">
        <v>100</v>
      </c>
      <c r="F11" s="1196"/>
      <c r="G11" s="1188">
        <v>6</v>
      </c>
      <c r="H11" s="1188">
        <v>1</v>
      </c>
      <c r="I11" s="1171"/>
    </row>
    <row r="12" spans="1:25" ht="15.6">
      <c r="A12" s="443" t="s">
        <v>1125</v>
      </c>
      <c r="B12" s="94"/>
      <c r="C12" s="94"/>
      <c r="D12" s="1165"/>
      <c r="E12" s="1166"/>
      <c r="F12" s="94"/>
      <c r="G12" s="1167"/>
      <c r="H12" s="1167"/>
      <c r="I12" s="1171"/>
    </row>
    <row r="13" spans="1:25" ht="16.2" hidden="1">
      <c r="A13" s="443" t="s">
        <v>1131</v>
      </c>
      <c r="B13" s="94"/>
      <c r="C13" s="94"/>
      <c r="D13" s="1165"/>
      <c r="E13" s="1166"/>
      <c r="F13" s="94"/>
      <c r="G13" s="1167"/>
      <c r="H13" s="1167"/>
      <c r="I13" s="1171"/>
    </row>
    <row r="14" spans="1:25" ht="15.6" hidden="1">
      <c r="A14" s="443" t="s">
        <v>1132</v>
      </c>
      <c r="B14" s="94"/>
      <c r="C14" s="94"/>
      <c r="D14" s="1165"/>
      <c r="E14" s="1166"/>
      <c r="F14" s="94"/>
      <c r="G14" s="1167"/>
      <c r="H14" s="1167"/>
      <c r="I14" s="1171"/>
    </row>
    <row r="15" spans="1:25" ht="7.5" customHeight="1">
      <c r="A15" s="1167"/>
      <c r="B15" s="1167"/>
      <c r="C15" s="1167"/>
      <c r="D15" s="1167"/>
      <c r="E15" s="1167"/>
      <c r="F15" s="1167"/>
      <c r="G15" s="1167"/>
      <c r="H15" s="1167"/>
      <c r="I15" s="1171"/>
    </row>
    <row r="16" spans="1:25" ht="38.25" hidden="1" customHeight="1">
      <c r="A16" s="1160" t="s">
        <v>1121</v>
      </c>
      <c r="B16" s="1199"/>
      <c r="C16" s="1161"/>
      <c r="D16" s="1161"/>
      <c r="E16" s="1161"/>
      <c r="F16" s="1161"/>
      <c r="G16" s="1159" t="s">
        <v>766</v>
      </c>
      <c r="H16" s="1161"/>
      <c r="I16" s="1171"/>
    </row>
    <row r="17" spans="1:17" s="763" customFormat="1" ht="46.5" customHeight="1">
      <c r="A17" s="2947" t="s">
        <v>764</v>
      </c>
      <c r="B17" s="2947" t="s">
        <v>765</v>
      </c>
      <c r="C17" s="1162" t="s">
        <v>1117</v>
      </c>
      <c r="D17" s="1162"/>
      <c r="E17" s="1162"/>
      <c r="F17" s="1162" t="s">
        <v>1920</v>
      </c>
      <c r="G17" s="1162"/>
      <c r="H17" s="1162"/>
      <c r="I17" s="1172"/>
      <c r="K17" s="1125">
        <v>17.307915137568589</v>
      </c>
      <c r="L17" s="762"/>
      <c r="M17" s="762"/>
      <c r="N17" s="762"/>
    </row>
    <row r="18" spans="1:17" s="763" customFormat="1" ht="15.6">
      <c r="A18" s="2948"/>
      <c r="B18" s="2948"/>
      <c r="C18" s="1162" t="s">
        <v>857</v>
      </c>
      <c r="D18" s="1162" t="s">
        <v>1123</v>
      </c>
      <c r="E18" s="1162" t="s">
        <v>279</v>
      </c>
      <c r="F18" s="1162" t="s">
        <v>857</v>
      </c>
      <c r="G18" s="1162" t="s">
        <v>1123</v>
      </c>
      <c r="H18" s="1162" t="s">
        <v>279</v>
      </c>
      <c r="I18" s="1172"/>
      <c r="J18" s="762"/>
      <c r="K18" s="762"/>
      <c r="L18" s="762"/>
      <c r="M18" s="762"/>
      <c r="N18" s="762"/>
    </row>
    <row r="19" spans="1:17" s="776" customFormat="1" ht="21.75" customHeight="1">
      <c r="A19" s="772" t="s">
        <v>858</v>
      </c>
      <c r="B19" s="773" t="s">
        <v>859</v>
      </c>
      <c r="C19" s="774">
        <v>6</v>
      </c>
      <c r="D19" s="774">
        <v>1</v>
      </c>
      <c r="E19" s="774">
        <v>7</v>
      </c>
      <c r="F19" s="774">
        <v>1</v>
      </c>
      <c r="G19" s="1145">
        <v>0.2</v>
      </c>
      <c r="H19" s="1145">
        <v>1.2</v>
      </c>
      <c r="I19" s="1173"/>
      <c r="J19" s="775"/>
      <c r="K19" s="775"/>
      <c r="L19" s="775"/>
      <c r="M19" s="775"/>
      <c r="N19" s="775"/>
    </row>
    <row r="20" spans="1:17" s="776" customFormat="1" ht="21.75" customHeight="1">
      <c r="A20" s="772" t="s">
        <v>860</v>
      </c>
      <c r="B20" s="773" t="s">
        <v>84</v>
      </c>
      <c r="C20" s="777">
        <v>1060.95993</v>
      </c>
      <c r="D20" s="777">
        <v>192.68447625000002</v>
      </c>
      <c r="E20" s="777">
        <v>1253.64440625</v>
      </c>
      <c r="F20" s="777">
        <v>176.82659999999998</v>
      </c>
      <c r="G20" s="777">
        <v>38.536896000000006</v>
      </c>
      <c r="H20" s="777">
        <v>215.363496</v>
      </c>
      <c r="I20" s="1173"/>
      <c r="J20" s="775"/>
      <c r="K20" s="775"/>
      <c r="L20" s="775"/>
      <c r="M20" s="775"/>
      <c r="N20" s="775"/>
    </row>
    <row r="21" spans="1:17" s="776" customFormat="1" ht="21.75" customHeight="1">
      <c r="A21" s="772" t="s">
        <v>861</v>
      </c>
      <c r="B21" s="773" t="s">
        <v>225</v>
      </c>
      <c r="C21" s="778">
        <v>14735.55</v>
      </c>
      <c r="D21" s="778">
        <v>16057.04</v>
      </c>
      <c r="E21" s="778">
        <v>14924.34</v>
      </c>
      <c r="F21" s="778">
        <v>14735.55</v>
      </c>
      <c r="G21" s="778">
        <v>16057.04</v>
      </c>
      <c r="H21" s="778">
        <v>14924.34</v>
      </c>
      <c r="I21" s="1173"/>
      <c r="J21" s="775"/>
      <c r="K21" s="775"/>
      <c r="L21" s="775"/>
      <c r="M21" s="775"/>
      <c r="N21" s="775"/>
    </row>
    <row r="22" spans="1:17" s="776" customFormat="1" ht="29.25" customHeight="1">
      <c r="A22" s="772" t="s">
        <v>1137</v>
      </c>
      <c r="B22" s="773" t="s">
        <v>84</v>
      </c>
      <c r="C22" s="777">
        <v>49.776749999999993</v>
      </c>
      <c r="D22" s="777">
        <v>20.395710000000001</v>
      </c>
      <c r="E22" s="777">
        <v>70.172460000000001</v>
      </c>
      <c r="F22" s="777">
        <v>8.2960799999999999</v>
      </c>
      <c r="G22" s="777">
        <v>4.0791360000000001</v>
      </c>
      <c r="H22" s="777">
        <v>12.375216</v>
      </c>
      <c r="I22" s="1173"/>
      <c r="J22" s="775"/>
      <c r="K22" s="775"/>
      <c r="L22" s="775"/>
      <c r="M22" s="775"/>
      <c r="N22" s="775"/>
    </row>
    <row r="23" spans="1:17" s="776" customFormat="1" ht="33" customHeight="1">
      <c r="A23" s="772" t="s">
        <v>244</v>
      </c>
      <c r="B23" s="773" t="s">
        <v>225</v>
      </c>
      <c r="C23" s="778">
        <v>691.34</v>
      </c>
      <c r="D23" s="778">
        <v>1699.64</v>
      </c>
      <c r="E23" s="778">
        <v>835.39</v>
      </c>
      <c r="F23" s="778">
        <v>691.34</v>
      </c>
      <c r="G23" s="778">
        <v>1699.64</v>
      </c>
      <c r="H23" s="778">
        <v>835.39</v>
      </c>
      <c r="I23" s="1173"/>
      <c r="J23" s="775"/>
      <c r="K23" s="775"/>
      <c r="L23" s="775"/>
      <c r="M23" s="775"/>
      <c r="N23" s="775"/>
    </row>
    <row r="24" spans="1:17" s="776" customFormat="1" ht="21.75" customHeight="1">
      <c r="A24" s="772" t="s">
        <v>862</v>
      </c>
      <c r="B24" s="773" t="s">
        <v>87</v>
      </c>
      <c r="C24" s="779">
        <v>4.6900000000000004</v>
      </c>
      <c r="D24" s="779">
        <v>10.59</v>
      </c>
      <c r="E24" s="779">
        <v>5.6</v>
      </c>
      <c r="F24" s="779">
        <v>4.7</v>
      </c>
      <c r="G24" s="779">
        <v>10.59</v>
      </c>
      <c r="H24" s="779">
        <v>5.65</v>
      </c>
      <c r="I24" s="1173"/>
      <c r="J24" s="775"/>
      <c r="K24" s="775"/>
      <c r="L24" s="775"/>
      <c r="M24" s="775"/>
      <c r="N24" s="775"/>
    </row>
    <row r="25" spans="1:17" s="776" customFormat="1" ht="21.75" customHeight="1">
      <c r="A25" s="772" t="s">
        <v>863</v>
      </c>
      <c r="B25" s="773" t="s">
        <v>84</v>
      </c>
      <c r="C25" s="777">
        <v>18.651520000000001</v>
      </c>
      <c r="D25" s="777">
        <v>27.184889999999999</v>
      </c>
      <c r="E25" s="777">
        <v>45.836410000000001</v>
      </c>
      <c r="F25" s="777">
        <v>3.1086000000000005</v>
      </c>
      <c r="G25" s="777">
        <v>5.4369840000000007</v>
      </c>
      <c r="H25" s="777">
        <v>8.5455840000000016</v>
      </c>
      <c r="I25" s="1173"/>
      <c r="J25" s="775"/>
      <c r="K25" s="775"/>
      <c r="L25" s="775"/>
      <c r="M25" s="775"/>
      <c r="N25" s="775"/>
    </row>
    <row r="26" spans="1:17" s="776" customFormat="1" ht="21.75" customHeight="1">
      <c r="A26" s="772" t="s">
        <v>864</v>
      </c>
      <c r="B26" s="773" t="s">
        <v>225</v>
      </c>
      <c r="C26" s="778">
        <v>259.05</v>
      </c>
      <c r="D26" s="778">
        <v>2265.41</v>
      </c>
      <c r="E26" s="778">
        <v>545.66999999999996</v>
      </c>
      <c r="F26" s="778">
        <v>259.05</v>
      </c>
      <c r="G26" s="778">
        <v>2265.41</v>
      </c>
      <c r="H26" s="778">
        <v>545.66999999999996</v>
      </c>
      <c r="I26" s="1173"/>
      <c r="J26" s="775"/>
      <c r="K26" s="775"/>
      <c r="L26" s="775"/>
      <c r="M26" s="775"/>
      <c r="N26" s="775"/>
    </row>
    <row r="27" spans="1:17" s="776" customFormat="1" ht="21.75" customHeight="1">
      <c r="A27" s="772" t="s">
        <v>1138</v>
      </c>
      <c r="B27" s="773" t="s">
        <v>87</v>
      </c>
      <c r="C27" s="779">
        <v>1.76</v>
      </c>
      <c r="D27" s="779">
        <v>14.11</v>
      </c>
      <c r="E27" s="779">
        <v>3.66</v>
      </c>
      <c r="F27" s="779">
        <v>1.76</v>
      </c>
      <c r="G27" s="779">
        <v>14.11</v>
      </c>
      <c r="H27" s="779">
        <v>3.66</v>
      </c>
      <c r="I27" s="1173"/>
      <c r="K27" s="775" t="s">
        <v>1124</v>
      </c>
      <c r="L27" s="775"/>
      <c r="M27" s="775"/>
      <c r="N27" s="775"/>
    </row>
    <row r="28" spans="1:17" s="776" customFormat="1" ht="21.75" customHeight="1">
      <c r="A28" s="780" t="s">
        <v>865</v>
      </c>
      <c r="B28" s="781" t="s">
        <v>84</v>
      </c>
      <c r="C28" s="782">
        <v>1129.3881999999999</v>
      </c>
      <c r="D28" s="782">
        <v>240.26507625000002</v>
      </c>
      <c r="E28" s="782">
        <v>1369.6532762499999</v>
      </c>
      <c r="F28" s="782">
        <v>188.23127999999997</v>
      </c>
      <c r="G28" s="782">
        <v>48.053016000000007</v>
      </c>
      <c r="H28" s="782">
        <v>236.28429599999998</v>
      </c>
      <c r="I28" s="1173"/>
      <c r="K28" s="775">
        <v>93.838566024503024</v>
      </c>
      <c r="L28" s="775">
        <v>37.777162526152537</v>
      </c>
      <c r="M28" s="775">
        <v>131.61572855065558</v>
      </c>
      <c r="N28" s="775"/>
      <c r="O28" s="776">
        <v>18809.616000000002</v>
      </c>
      <c r="P28" s="776">
        <v>3255.5523749825238</v>
      </c>
      <c r="Q28" s="1128">
        <v>4019.5453719130314</v>
      </c>
    </row>
    <row r="29" spans="1:17" s="776" customFormat="1" ht="21.75" customHeight="1">
      <c r="A29" s="772" t="s">
        <v>866</v>
      </c>
      <c r="B29" s="773" t="s">
        <v>225</v>
      </c>
      <c r="C29" s="778">
        <v>15685.947222222223</v>
      </c>
      <c r="D29" s="778">
        <v>20022.0896875</v>
      </c>
      <c r="E29" s="778">
        <v>16305.396145833332</v>
      </c>
      <c r="F29" s="778">
        <v>15685.939999999997</v>
      </c>
      <c r="G29" s="778">
        <v>20022.09</v>
      </c>
      <c r="H29" s="778">
        <v>16305.4</v>
      </c>
      <c r="I29" s="1173"/>
      <c r="J29" s="775"/>
      <c r="K29" s="775"/>
      <c r="L29" s="775"/>
      <c r="M29" s="775"/>
      <c r="N29" s="775"/>
    </row>
    <row r="30" spans="1:17" ht="12" customHeight="1">
      <c r="A30" s="1167"/>
      <c r="B30" s="1167"/>
      <c r="C30" s="1167"/>
      <c r="D30" s="1167"/>
      <c r="E30" s="1167"/>
      <c r="F30" s="1167"/>
      <c r="G30" s="1167"/>
      <c r="H30" s="1167"/>
      <c r="I30" s="1171"/>
      <c r="O30" s="1154">
        <v>15685.939999999999</v>
      </c>
      <c r="P30" s="1154">
        <v>20022.09</v>
      </c>
      <c r="Q30" s="1154">
        <v>16305.4</v>
      </c>
    </row>
    <row r="31" spans="1:17">
      <c r="A31" s="51"/>
      <c r="B31" s="1167"/>
      <c r="C31" s="1167"/>
      <c r="D31" s="1167"/>
      <c r="E31" s="1167"/>
      <c r="F31" s="1167"/>
      <c r="G31" s="1167"/>
      <c r="H31" s="1167"/>
      <c r="I31" s="1171"/>
    </row>
    <row r="32" spans="1:17">
      <c r="A32" s="51"/>
      <c r="B32" s="1167"/>
      <c r="C32" s="1167"/>
      <c r="D32" s="1167"/>
      <c r="E32" s="1167"/>
      <c r="F32" s="1167"/>
      <c r="G32" s="1167"/>
      <c r="H32" s="1167"/>
      <c r="I32" s="1171"/>
    </row>
    <row r="33" spans="1:14">
      <c r="A33" s="1167"/>
      <c r="B33" s="1167"/>
      <c r="C33" s="1167"/>
      <c r="D33" s="1167"/>
      <c r="E33" s="1167"/>
      <c r="F33" s="1167"/>
      <c r="G33" s="1167"/>
      <c r="H33" s="1167"/>
      <c r="I33" s="1171"/>
    </row>
    <row r="34" spans="1:14">
      <c r="A34" s="758" t="s">
        <v>731</v>
      </c>
      <c r="J34" s="758"/>
      <c r="K34" s="758"/>
      <c r="L34" s="758"/>
      <c r="M34" s="758"/>
      <c r="N34" s="758"/>
    </row>
    <row r="35" spans="1:14">
      <c r="A35" s="758" t="s">
        <v>761</v>
      </c>
      <c r="E35" s="758" t="s">
        <v>1923</v>
      </c>
      <c r="J35" s="758"/>
      <c r="K35" s="758"/>
      <c r="L35" s="758"/>
      <c r="M35" s="758"/>
      <c r="N35" s="758"/>
    </row>
  </sheetData>
  <mergeCells count="2">
    <mergeCell ref="A17:A18"/>
    <mergeCell ref="B17:B18"/>
  </mergeCells>
  <printOptions horizontalCentered="1"/>
  <pageMargins left="0.78740157480314965" right="0.78740157480314965" top="0.78740157480314965" bottom="0.11811023622047245" header="0.51181102362204722" footer="3.937007874015748E-2"/>
  <pageSetup paperSize="9" scale="83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CCFFCC"/>
  </sheetPr>
  <dimension ref="A1:N78"/>
  <sheetViews>
    <sheetView zoomScale="85" zoomScaleNormal="85" zoomScaleSheetLayoutView="75" workbookViewId="0">
      <pane ySplit="6" topLeftCell="A49" activePane="bottomLeft" state="frozen"/>
      <selection sqref="A1:XFD1048576"/>
      <selection pane="bottomLeft" sqref="A1:XFD1048576"/>
    </sheetView>
  </sheetViews>
  <sheetFormatPr defaultRowHeight="13.2"/>
  <cols>
    <col min="1" max="1" width="60.6640625" style="1744" customWidth="1"/>
    <col min="2" max="2" width="24.33203125" style="1744" customWidth="1"/>
    <col min="3" max="6" width="17.6640625" style="1744" customWidth="1"/>
    <col min="7" max="12" width="0" style="1744" hidden="1" customWidth="1"/>
    <col min="13" max="256" width="9.109375" style="1744"/>
    <col min="257" max="257" width="60.6640625" style="1744" customWidth="1"/>
    <col min="258" max="258" width="24.33203125" style="1744" customWidth="1"/>
    <col min="259" max="262" width="17.6640625" style="1744" customWidth="1"/>
    <col min="263" max="268" width="0" style="1744" hidden="1" customWidth="1"/>
    <col min="269" max="512" width="9.109375" style="1744"/>
    <col min="513" max="513" width="60.6640625" style="1744" customWidth="1"/>
    <col min="514" max="514" width="24.33203125" style="1744" customWidth="1"/>
    <col min="515" max="518" width="17.6640625" style="1744" customWidth="1"/>
    <col min="519" max="524" width="0" style="1744" hidden="1" customWidth="1"/>
    <col min="525" max="768" width="9.109375" style="1744"/>
    <col min="769" max="769" width="60.6640625" style="1744" customWidth="1"/>
    <col min="770" max="770" width="24.33203125" style="1744" customWidth="1"/>
    <col min="771" max="774" width="17.6640625" style="1744" customWidth="1"/>
    <col min="775" max="780" width="0" style="1744" hidden="1" customWidth="1"/>
    <col min="781" max="1024" width="9.109375" style="1744"/>
    <col min="1025" max="1025" width="60.6640625" style="1744" customWidth="1"/>
    <col min="1026" max="1026" width="24.33203125" style="1744" customWidth="1"/>
    <col min="1027" max="1030" width="17.6640625" style="1744" customWidth="1"/>
    <col min="1031" max="1036" width="0" style="1744" hidden="1" customWidth="1"/>
    <col min="1037" max="1280" width="9.109375" style="1744"/>
    <col min="1281" max="1281" width="60.6640625" style="1744" customWidth="1"/>
    <col min="1282" max="1282" width="24.33203125" style="1744" customWidth="1"/>
    <col min="1283" max="1286" width="17.6640625" style="1744" customWidth="1"/>
    <col min="1287" max="1292" width="0" style="1744" hidden="1" customWidth="1"/>
    <col min="1293" max="1536" width="9.109375" style="1744"/>
    <col min="1537" max="1537" width="60.6640625" style="1744" customWidth="1"/>
    <col min="1538" max="1538" width="24.33203125" style="1744" customWidth="1"/>
    <col min="1539" max="1542" width="17.6640625" style="1744" customWidth="1"/>
    <col min="1543" max="1548" width="0" style="1744" hidden="1" customWidth="1"/>
    <col min="1549" max="1792" width="9.109375" style="1744"/>
    <col min="1793" max="1793" width="60.6640625" style="1744" customWidth="1"/>
    <col min="1794" max="1794" width="24.33203125" style="1744" customWidth="1"/>
    <col min="1795" max="1798" width="17.6640625" style="1744" customWidth="1"/>
    <col min="1799" max="1804" width="0" style="1744" hidden="1" customWidth="1"/>
    <col min="1805" max="2048" width="9.109375" style="1744"/>
    <col min="2049" max="2049" width="60.6640625" style="1744" customWidth="1"/>
    <col min="2050" max="2050" width="24.33203125" style="1744" customWidth="1"/>
    <col min="2051" max="2054" width="17.6640625" style="1744" customWidth="1"/>
    <col min="2055" max="2060" width="0" style="1744" hidden="1" customWidth="1"/>
    <col min="2061" max="2304" width="9.109375" style="1744"/>
    <col min="2305" max="2305" width="60.6640625" style="1744" customWidth="1"/>
    <col min="2306" max="2306" width="24.33203125" style="1744" customWidth="1"/>
    <col min="2307" max="2310" width="17.6640625" style="1744" customWidth="1"/>
    <col min="2311" max="2316" width="0" style="1744" hidden="1" customWidth="1"/>
    <col min="2317" max="2560" width="9.109375" style="1744"/>
    <col min="2561" max="2561" width="60.6640625" style="1744" customWidth="1"/>
    <col min="2562" max="2562" width="24.33203125" style="1744" customWidth="1"/>
    <col min="2563" max="2566" width="17.6640625" style="1744" customWidth="1"/>
    <col min="2567" max="2572" width="0" style="1744" hidden="1" customWidth="1"/>
    <col min="2573" max="2816" width="9.109375" style="1744"/>
    <col min="2817" max="2817" width="60.6640625" style="1744" customWidth="1"/>
    <col min="2818" max="2818" width="24.33203125" style="1744" customWidth="1"/>
    <col min="2819" max="2822" width="17.6640625" style="1744" customWidth="1"/>
    <col min="2823" max="2828" width="0" style="1744" hidden="1" customWidth="1"/>
    <col min="2829" max="3072" width="9.109375" style="1744"/>
    <col min="3073" max="3073" width="60.6640625" style="1744" customWidth="1"/>
    <col min="3074" max="3074" width="24.33203125" style="1744" customWidth="1"/>
    <col min="3075" max="3078" width="17.6640625" style="1744" customWidth="1"/>
    <col min="3079" max="3084" width="0" style="1744" hidden="1" customWidth="1"/>
    <col min="3085" max="3328" width="9.109375" style="1744"/>
    <col min="3329" max="3329" width="60.6640625" style="1744" customWidth="1"/>
    <col min="3330" max="3330" width="24.33203125" style="1744" customWidth="1"/>
    <col min="3331" max="3334" width="17.6640625" style="1744" customWidth="1"/>
    <col min="3335" max="3340" width="0" style="1744" hidden="1" customWidth="1"/>
    <col min="3341" max="3584" width="9.109375" style="1744"/>
    <col min="3585" max="3585" width="60.6640625" style="1744" customWidth="1"/>
    <col min="3586" max="3586" width="24.33203125" style="1744" customWidth="1"/>
    <col min="3587" max="3590" width="17.6640625" style="1744" customWidth="1"/>
    <col min="3591" max="3596" width="0" style="1744" hidden="1" customWidth="1"/>
    <col min="3597" max="3840" width="9.109375" style="1744"/>
    <col min="3841" max="3841" width="60.6640625" style="1744" customWidth="1"/>
    <col min="3842" max="3842" width="24.33203125" style="1744" customWidth="1"/>
    <col min="3843" max="3846" width="17.6640625" style="1744" customWidth="1"/>
    <col min="3847" max="3852" width="0" style="1744" hidden="1" customWidth="1"/>
    <col min="3853" max="4096" width="9.109375" style="1744"/>
    <col min="4097" max="4097" width="60.6640625" style="1744" customWidth="1"/>
    <col min="4098" max="4098" width="24.33203125" style="1744" customWidth="1"/>
    <col min="4099" max="4102" width="17.6640625" style="1744" customWidth="1"/>
    <col min="4103" max="4108" width="0" style="1744" hidden="1" customWidth="1"/>
    <col min="4109" max="4352" width="9.109375" style="1744"/>
    <col min="4353" max="4353" width="60.6640625" style="1744" customWidth="1"/>
    <col min="4354" max="4354" width="24.33203125" style="1744" customWidth="1"/>
    <col min="4355" max="4358" width="17.6640625" style="1744" customWidth="1"/>
    <col min="4359" max="4364" width="0" style="1744" hidden="1" customWidth="1"/>
    <col min="4365" max="4608" width="9.109375" style="1744"/>
    <col min="4609" max="4609" width="60.6640625" style="1744" customWidth="1"/>
    <col min="4610" max="4610" width="24.33203125" style="1744" customWidth="1"/>
    <col min="4611" max="4614" width="17.6640625" style="1744" customWidth="1"/>
    <col min="4615" max="4620" width="0" style="1744" hidden="1" customWidth="1"/>
    <col min="4621" max="4864" width="9.109375" style="1744"/>
    <col min="4865" max="4865" width="60.6640625" style="1744" customWidth="1"/>
    <col min="4866" max="4866" width="24.33203125" style="1744" customWidth="1"/>
    <col min="4867" max="4870" width="17.6640625" style="1744" customWidth="1"/>
    <col min="4871" max="4876" width="0" style="1744" hidden="1" customWidth="1"/>
    <col min="4877" max="5120" width="9.109375" style="1744"/>
    <col min="5121" max="5121" width="60.6640625" style="1744" customWidth="1"/>
    <col min="5122" max="5122" width="24.33203125" style="1744" customWidth="1"/>
    <col min="5123" max="5126" width="17.6640625" style="1744" customWidth="1"/>
    <col min="5127" max="5132" width="0" style="1744" hidden="1" customWidth="1"/>
    <col min="5133" max="5376" width="9.109375" style="1744"/>
    <col min="5377" max="5377" width="60.6640625" style="1744" customWidth="1"/>
    <col min="5378" max="5378" width="24.33203125" style="1744" customWidth="1"/>
    <col min="5379" max="5382" width="17.6640625" style="1744" customWidth="1"/>
    <col min="5383" max="5388" width="0" style="1744" hidden="1" customWidth="1"/>
    <col min="5389" max="5632" width="9.109375" style="1744"/>
    <col min="5633" max="5633" width="60.6640625" style="1744" customWidth="1"/>
    <col min="5634" max="5634" width="24.33203125" style="1744" customWidth="1"/>
    <col min="5635" max="5638" width="17.6640625" style="1744" customWidth="1"/>
    <col min="5639" max="5644" width="0" style="1744" hidden="1" customWidth="1"/>
    <col min="5645" max="5888" width="9.109375" style="1744"/>
    <col min="5889" max="5889" width="60.6640625" style="1744" customWidth="1"/>
    <col min="5890" max="5890" width="24.33203125" style="1744" customWidth="1"/>
    <col min="5891" max="5894" width="17.6640625" style="1744" customWidth="1"/>
    <col min="5895" max="5900" width="0" style="1744" hidden="1" customWidth="1"/>
    <col min="5901" max="6144" width="9.109375" style="1744"/>
    <col min="6145" max="6145" width="60.6640625" style="1744" customWidth="1"/>
    <col min="6146" max="6146" width="24.33203125" style="1744" customWidth="1"/>
    <col min="6147" max="6150" width="17.6640625" style="1744" customWidth="1"/>
    <col min="6151" max="6156" width="0" style="1744" hidden="1" customWidth="1"/>
    <col min="6157" max="6400" width="9.109375" style="1744"/>
    <col min="6401" max="6401" width="60.6640625" style="1744" customWidth="1"/>
    <col min="6402" max="6402" width="24.33203125" style="1744" customWidth="1"/>
    <col min="6403" max="6406" width="17.6640625" style="1744" customWidth="1"/>
    <col min="6407" max="6412" width="0" style="1744" hidden="1" customWidth="1"/>
    <col min="6413" max="6656" width="9.109375" style="1744"/>
    <col min="6657" max="6657" width="60.6640625" style="1744" customWidth="1"/>
    <col min="6658" max="6658" width="24.33203125" style="1744" customWidth="1"/>
    <col min="6659" max="6662" width="17.6640625" style="1744" customWidth="1"/>
    <col min="6663" max="6668" width="0" style="1744" hidden="1" customWidth="1"/>
    <col min="6669" max="6912" width="9.109375" style="1744"/>
    <col min="6913" max="6913" width="60.6640625" style="1744" customWidth="1"/>
    <col min="6914" max="6914" width="24.33203125" style="1744" customWidth="1"/>
    <col min="6915" max="6918" width="17.6640625" style="1744" customWidth="1"/>
    <col min="6919" max="6924" width="0" style="1744" hidden="1" customWidth="1"/>
    <col min="6925" max="7168" width="9.109375" style="1744"/>
    <col min="7169" max="7169" width="60.6640625" style="1744" customWidth="1"/>
    <col min="7170" max="7170" width="24.33203125" style="1744" customWidth="1"/>
    <col min="7171" max="7174" width="17.6640625" style="1744" customWidth="1"/>
    <col min="7175" max="7180" width="0" style="1744" hidden="1" customWidth="1"/>
    <col min="7181" max="7424" width="9.109375" style="1744"/>
    <col min="7425" max="7425" width="60.6640625" style="1744" customWidth="1"/>
    <col min="7426" max="7426" width="24.33203125" style="1744" customWidth="1"/>
    <col min="7427" max="7430" width="17.6640625" style="1744" customWidth="1"/>
    <col min="7431" max="7436" width="0" style="1744" hidden="1" customWidth="1"/>
    <col min="7437" max="7680" width="9.109375" style="1744"/>
    <col min="7681" max="7681" width="60.6640625" style="1744" customWidth="1"/>
    <col min="7682" max="7682" width="24.33203125" style="1744" customWidth="1"/>
    <col min="7683" max="7686" width="17.6640625" style="1744" customWidth="1"/>
    <col min="7687" max="7692" width="0" style="1744" hidden="1" customWidth="1"/>
    <col min="7693" max="7936" width="9.109375" style="1744"/>
    <col min="7937" max="7937" width="60.6640625" style="1744" customWidth="1"/>
    <col min="7938" max="7938" width="24.33203125" style="1744" customWidth="1"/>
    <col min="7939" max="7942" width="17.6640625" style="1744" customWidth="1"/>
    <col min="7943" max="7948" width="0" style="1744" hidden="1" customWidth="1"/>
    <col min="7949" max="8192" width="9.109375" style="1744"/>
    <col min="8193" max="8193" width="60.6640625" style="1744" customWidth="1"/>
    <col min="8194" max="8194" width="24.33203125" style="1744" customWidth="1"/>
    <col min="8195" max="8198" width="17.6640625" style="1744" customWidth="1"/>
    <col min="8199" max="8204" width="0" style="1744" hidden="1" customWidth="1"/>
    <col min="8205" max="8448" width="9.109375" style="1744"/>
    <col min="8449" max="8449" width="60.6640625" style="1744" customWidth="1"/>
    <col min="8450" max="8450" width="24.33203125" style="1744" customWidth="1"/>
    <col min="8451" max="8454" width="17.6640625" style="1744" customWidth="1"/>
    <col min="8455" max="8460" width="0" style="1744" hidden="1" customWidth="1"/>
    <col min="8461" max="8704" width="9.109375" style="1744"/>
    <col min="8705" max="8705" width="60.6640625" style="1744" customWidth="1"/>
    <col min="8706" max="8706" width="24.33203125" style="1744" customWidth="1"/>
    <col min="8707" max="8710" width="17.6640625" style="1744" customWidth="1"/>
    <col min="8711" max="8716" width="0" style="1744" hidden="1" customWidth="1"/>
    <col min="8717" max="8960" width="9.109375" style="1744"/>
    <col min="8961" max="8961" width="60.6640625" style="1744" customWidth="1"/>
    <col min="8962" max="8962" width="24.33203125" style="1744" customWidth="1"/>
    <col min="8963" max="8966" width="17.6640625" style="1744" customWidth="1"/>
    <col min="8967" max="8972" width="0" style="1744" hidden="1" customWidth="1"/>
    <col min="8973" max="9216" width="9.109375" style="1744"/>
    <col min="9217" max="9217" width="60.6640625" style="1744" customWidth="1"/>
    <col min="9218" max="9218" width="24.33203125" style="1744" customWidth="1"/>
    <col min="9219" max="9222" width="17.6640625" style="1744" customWidth="1"/>
    <col min="9223" max="9228" width="0" style="1744" hidden="1" customWidth="1"/>
    <col min="9229" max="9472" width="9.109375" style="1744"/>
    <col min="9473" max="9473" width="60.6640625" style="1744" customWidth="1"/>
    <col min="9474" max="9474" width="24.33203125" style="1744" customWidth="1"/>
    <col min="9475" max="9478" width="17.6640625" style="1744" customWidth="1"/>
    <col min="9479" max="9484" width="0" style="1744" hidden="1" customWidth="1"/>
    <col min="9485" max="9728" width="9.109375" style="1744"/>
    <col min="9729" max="9729" width="60.6640625" style="1744" customWidth="1"/>
    <col min="9730" max="9730" width="24.33203125" style="1744" customWidth="1"/>
    <col min="9731" max="9734" width="17.6640625" style="1744" customWidth="1"/>
    <col min="9735" max="9740" width="0" style="1744" hidden="1" customWidth="1"/>
    <col min="9741" max="9984" width="9.109375" style="1744"/>
    <col min="9985" max="9985" width="60.6640625" style="1744" customWidth="1"/>
    <col min="9986" max="9986" width="24.33203125" style="1744" customWidth="1"/>
    <col min="9987" max="9990" width="17.6640625" style="1744" customWidth="1"/>
    <col min="9991" max="9996" width="0" style="1744" hidden="1" customWidth="1"/>
    <col min="9997" max="10240" width="9.109375" style="1744"/>
    <col min="10241" max="10241" width="60.6640625" style="1744" customWidth="1"/>
    <col min="10242" max="10242" width="24.33203125" style="1744" customWidth="1"/>
    <col min="10243" max="10246" width="17.6640625" style="1744" customWidth="1"/>
    <col min="10247" max="10252" width="0" style="1744" hidden="1" customWidth="1"/>
    <col min="10253" max="10496" width="9.109375" style="1744"/>
    <col min="10497" max="10497" width="60.6640625" style="1744" customWidth="1"/>
    <col min="10498" max="10498" width="24.33203125" style="1744" customWidth="1"/>
    <col min="10499" max="10502" width="17.6640625" style="1744" customWidth="1"/>
    <col min="10503" max="10508" width="0" style="1744" hidden="1" customWidth="1"/>
    <col min="10509" max="10752" width="9.109375" style="1744"/>
    <col min="10753" max="10753" width="60.6640625" style="1744" customWidth="1"/>
    <col min="10754" max="10754" width="24.33203125" style="1744" customWidth="1"/>
    <col min="10755" max="10758" width="17.6640625" style="1744" customWidth="1"/>
    <col min="10759" max="10764" width="0" style="1744" hidden="1" customWidth="1"/>
    <col min="10765" max="11008" width="9.109375" style="1744"/>
    <col min="11009" max="11009" width="60.6640625" style="1744" customWidth="1"/>
    <col min="11010" max="11010" width="24.33203125" style="1744" customWidth="1"/>
    <col min="11011" max="11014" width="17.6640625" style="1744" customWidth="1"/>
    <col min="11015" max="11020" width="0" style="1744" hidden="1" customWidth="1"/>
    <col min="11021" max="11264" width="9.109375" style="1744"/>
    <col min="11265" max="11265" width="60.6640625" style="1744" customWidth="1"/>
    <col min="11266" max="11266" width="24.33203125" style="1744" customWidth="1"/>
    <col min="11267" max="11270" width="17.6640625" style="1744" customWidth="1"/>
    <col min="11271" max="11276" width="0" style="1744" hidden="1" customWidth="1"/>
    <col min="11277" max="11520" width="9.109375" style="1744"/>
    <col min="11521" max="11521" width="60.6640625" style="1744" customWidth="1"/>
    <col min="11522" max="11522" width="24.33203125" style="1744" customWidth="1"/>
    <col min="11523" max="11526" width="17.6640625" style="1744" customWidth="1"/>
    <col min="11527" max="11532" width="0" style="1744" hidden="1" customWidth="1"/>
    <col min="11533" max="11776" width="9.109375" style="1744"/>
    <col min="11777" max="11777" width="60.6640625" style="1744" customWidth="1"/>
    <col min="11778" max="11778" width="24.33203125" style="1744" customWidth="1"/>
    <col min="11779" max="11782" width="17.6640625" style="1744" customWidth="1"/>
    <col min="11783" max="11788" width="0" style="1744" hidden="1" customWidth="1"/>
    <col min="11789" max="12032" width="9.109375" style="1744"/>
    <col min="12033" max="12033" width="60.6640625" style="1744" customWidth="1"/>
    <col min="12034" max="12034" width="24.33203125" style="1744" customWidth="1"/>
    <col min="12035" max="12038" width="17.6640625" style="1744" customWidth="1"/>
    <col min="12039" max="12044" width="0" style="1744" hidden="1" customWidth="1"/>
    <col min="12045" max="12288" width="9.109375" style="1744"/>
    <col min="12289" max="12289" width="60.6640625" style="1744" customWidth="1"/>
    <col min="12290" max="12290" width="24.33203125" style="1744" customWidth="1"/>
    <col min="12291" max="12294" width="17.6640625" style="1744" customWidth="1"/>
    <col min="12295" max="12300" width="0" style="1744" hidden="1" customWidth="1"/>
    <col min="12301" max="12544" width="9.109375" style="1744"/>
    <col min="12545" max="12545" width="60.6640625" style="1744" customWidth="1"/>
    <col min="12546" max="12546" width="24.33203125" style="1744" customWidth="1"/>
    <col min="12547" max="12550" width="17.6640625" style="1744" customWidth="1"/>
    <col min="12551" max="12556" width="0" style="1744" hidden="1" customWidth="1"/>
    <col min="12557" max="12800" width="9.109375" style="1744"/>
    <col min="12801" max="12801" width="60.6640625" style="1744" customWidth="1"/>
    <col min="12802" max="12802" width="24.33203125" style="1744" customWidth="1"/>
    <col min="12803" max="12806" width="17.6640625" style="1744" customWidth="1"/>
    <col min="12807" max="12812" width="0" style="1744" hidden="1" customWidth="1"/>
    <col min="12813" max="13056" width="9.109375" style="1744"/>
    <col min="13057" max="13057" width="60.6640625" style="1744" customWidth="1"/>
    <col min="13058" max="13058" width="24.33203125" style="1744" customWidth="1"/>
    <col min="13059" max="13062" width="17.6640625" style="1744" customWidth="1"/>
    <col min="13063" max="13068" width="0" style="1744" hidden="1" customWidth="1"/>
    <col min="13069" max="13312" width="9.109375" style="1744"/>
    <col min="13313" max="13313" width="60.6640625" style="1744" customWidth="1"/>
    <col min="13314" max="13314" width="24.33203125" style="1744" customWidth="1"/>
    <col min="13315" max="13318" width="17.6640625" style="1744" customWidth="1"/>
    <col min="13319" max="13324" width="0" style="1744" hidden="1" customWidth="1"/>
    <col min="13325" max="13568" width="9.109375" style="1744"/>
    <col min="13569" max="13569" width="60.6640625" style="1744" customWidth="1"/>
    <col min="13570" max="13570" width="24.33203125" style="1744" customWidth="1"/>
    <col min="13571" max="13574" width="17.6640625" style="1744" customWidth="1"/>
    <col min="13575" max="13580" width="0" style="1744" hidden="1" customWidth="1"/>
    <col min="13581" max="13824" width="9.109375" style="1744"/>
    <col min="13825" max="13825" width="60.6640625" style="1744" customWidth="1"/>
    <col min="13826" max="13826" width="24.33203125" style="1744" customWidth="1"/>
    <col min="13827" max="13830" width="17.6640625" style="1744" customWidth="1"/>
    <col min="13831" max="13836" width="0" style="1744" hidden="1" customWidth="1"/>
    <col min="13837" max="14080" width="9.109375" style="1744"/>
    <col min="14081" max="14081" width="60.6640625" style="1744" customWidth="1"/>
    <col min="14082" max="14082" width="24.33203125" style="1744" customWidth="1"/>
    <col min="14083" max="14086" width="17.6640625" style="1744" customWidth="1"/>
    <col min="14087" max="14092" width="0" style="1744" hidden="1" customWidth="1"/>
    <col min="14093" max="14336" width="9.109375" style="1744"/>
    <col min="14337" max="14337" width="60.6640625" style="1744" customWidth="1"/>
    <col min="14338" max="14338" width="24.33203125" style="1744" customWidth="1"/>
    <col min="14339" max="14342" width="17.6640625" style="1744" customWidth="1"/>
    <col min="14343" max="14348" width="0" style="1744" hidden="1" customWidth="1"/>
    <col min="14349" max="14592" width="9.109375" style="1744"/>
    <col min="14593" max="14593" width="60.6640625" style="1744" customWidth="1"/>
    <col min="14594" max="14594" width="24.33203125" style="1744" customWidth="1"/>
    <col min="14595" max="14598" width="17.6640625" style="1744" customWidth="1"/>
    <col min="14599" max="14604" width="0" style="1744" hidden="1" customWidth="1"/>
    <col min="14605" max="14848" width="9.109375" style="1744"/>
    <col min="14849" max="14849" width="60.6640625" style="1744" customWidth="1"/>
    <col min="14850" max="14850" width="24.33203125" style="1744" customWidth="1"/>
    <col min="14851" max="14854" width="17.6640625" style="1744" customWidth="1"/>
    <col min="14855" max="14860" width="0" style="1744" hidden="1" customWidth="1"/>
    <col min="14861" max="15104" width="9.109375" style="1744"/>
    <col min="15105" max="15105" width="60.6640625" style="1744" customWidth="1"/>
    <col min="15106" max="15106" width="24.33203125" style="1744" customWidth="1"/>
    <col min="15107" max="15110" width="17.6640625" style="1744" customWidth="1"/>
    <col min="15111" max="15116" width="0" style="1744" hidden="1" customWidth="1"/>
    <col min="15117" max="15360" width="9.109375" style="1744"/>
    <col min="15361" max="15361" width="60.6640625" style="1744" customWidth="1"/>
    <col min="15362" max="15362" width="24.33203125" style="1744" customWidth="1"/>
    <col min="15363" max="15366" width="17.6640625" style="1744" customWidth="1"/>
    <col min="15367" max="15372" width="0" style="1744" hidden="1" customWidth="1"/>
    <col min="15373" max="15616" width="9.109375" style="1744"/>
    <col min="15617" max="15617" width="60.6640625" style="1744" customWidth="1"/>
    <col min="15618" max="15618" width="24.33203125" style="1744" customWidth="1"/>
    <col min="15619" max="15622" width="17.6640625" style="1744" customWidth="1"/>
    <col min="15623" max="15628" width="0" style="1744" hidden="1" customWidth="1"/>
    <col min="15629" max="15872" width="9.109375" style="1744"/>
    <col min="15873" max="15873" width="60.6640625" style="1744" customWidth="1"/>
    <col min="15874" max="15874" width="24.33203125" style="1744" customWidth="1"/>
    <col min="15875" max="15878" width="17.6640625" style="1744" customWidth="1"/>
    <col min="15879" max="15884" width="0" style="1744" hidden="1" customWidth="1"/>
    <col min="15885" max="16128" width="9.109375" style="1744"/>
    <col min="16129" max="16129" width="60.6640625" style="1744" customWidth="1"/>
    <col min="16130" max="16130" width="24.33203125" style="1744" customWidth="1"/>
    <col min="16131" max="16134" width="17.6640625" style="1744" customWidth="1"/>
    <col min="16135" max="16140" width="0" style="1744" hidden="1" customWidth="1"/>
    <col min="16141" max="16384" width="9.109375" style="1744"/>
  </cols>
  <sheetData>
    <row r="1" spans="1:11" ht="23.25" customHeight="1">
      <c r="A1" s="2997" t="s">
        <v>1826</v>
      </c>
      <c r="B1" s="2997"/>
      <c r="C1" s="2997"/>
      <c r="D1" s="2997"/>
      <c r="E1" s="2997"/>
      <c r="F1" s="2997"/>
      <c r="G1" s="1743"/>
    </row>
    <row r="2" spans="1:11" ht="24" customHeight="1">
      <c r="A2" s="2998" t="s">
        <v>1827</v>
      </c>
      <c r="B2" s="2998"/>
      <c r="C2" s="2998"/>
      <c r="D2" s="2998"/>
      <c r="E2" s="2998"/>
      <c r="F2" s="2998"/>
      <c r="G2" s="1743"/>
    </row>
    <row r="3" spans="1:11" ht="16.5" customHeight="1">
      <c r="A3" s="2999" t="s">
        <v>458</v>
      </c>
      <c r="B3" s="2999"/>
      <c r="C3" s="2999"/>
      <c r="D3" s="2999"/>
      <c r="E3" s="2999"/>
      <c r="F3" s="2999"/>
      <c r="G3" s="1743"/>
    </row>
    <row r="4" spans="1:11" ht="9.75" customHeight="1" thickBot="1">
      <c r="A4" s="1745"/>
      <c r="B4" s="1745"/>
      <c r="C4" s="1745"/>
      <c r="D4" s="1745"/>
      <c r="E4" s="1745"/>
      <c r="F4" s="1745"/>
      <c r="G4" s="1743"/>
    </row>
    <row r="5" spans="1:11" ht="24" customHeight="1" thickBot="1">
      <c r="A5" s="3000" t="s">
        <v>459</v>
      </c>
      <c r="B5" s="3001" t="s">
        <v>279</v>
      </c>
      <c r="C5" s="3002" t="s">
        <v>461</v>
      </c>
      <c r="D5" s="3002"/>
      <c r="E5" s="3002"/>
      <c r="F5" s="3002"/>
      <c r="G5" s="1746"/>
    </row>
    <row r="6" spans="1:11" ht="33.75" customHeight="1" thickBot="1">
      <c r="A6" s="3000"/>
      <c r="B6" s="3001"/>
      <c r="C6" s="1747" t="s">
        <v>292</v>
      </c>
      <c r="D6" s="1747" t="s">
        <v>217</v>
      </c>
      <c r="E6" s="1747" t="s">
        <v>218</v>
      </c>
      <c r="F6" s="1748" t="s">
        <v>280</v>
      </c>
      <c r="G6" s="1746"/>
    </row>
    <row r="7" spans="1:11" ht="23.25" customHeight="1">
      <c r="A7" s="2982" t="s">
        <v>1501</v>
      </c>
      <c r="B7" s="2982"/>
      <c r="C7" s="2982"/>
      <c r="D7" s="2982"/>
      <c r="E7" s="2982"/>
      <c r="F7" s="2982"/>
      <c r="G7" s="1749"/>
      <c r="H7" s="1750"/>
    </row>
    <row r="8" spans="1:11" ht="16.5" customHeight="1" thickBot="1">
      <c r="A8" s="2983" t="s">
        <v>467</v>
      </c>
      <c r="B8" s="2983"/>
      <c r="C8" s="2983"/>
      <c r="D8" s="2983"/>
      <c r="E8" s="2983"/>
      <c r="F8" s="2983"/>
      <c r="G8" s="1749"/>
      <c r="H8" s="1750"/>
      <c r="J8" s="1744" t="s">
        <v>1502</v>
      </c>
    </row>
    <row r="9" spans="1:11" ht="24.75" customHeight="1">
      <c r="A9" s="1751" t="s">
        <v>933</v>
      </c>
      <c r="B9" s="1752">
        <f>SUM(C9:F9)</f>
        <v>4624</v>
      </c>
      <c r="C9" s="1753">
        <f>C20+C13</f>
        <v>1450</v>
      </c>
      <c r="D9" s="1754"/>
      <c r="E9" s="1753">
        <f>E20+E13</f>
        <v>2990</v>
      </c>
      <c r="F9" s="1755">
        <f>F20+F13</f>
        <v>184</v>
      </c>
      <c r="G9" s="1749"/>
      <c r="H9" s="1750"/>
      <c r="J9" s="1756">
        <v>3507.2</v>
      </c>
    </row>
    <row r="10" spans="1:11" ht="24.75" customHeight="1" thickBot="1">
      <c r="A10" s="1757" t="s">
        <v>464</v>
      </c>
      <c r="B10" s="2352">
        <f>SUM(C10:F10)</f>
        <v>1.8169</v>
      </c>
      <c r="C10" s="2353">
        <f>C14+C21</f>
        <v>0.39600000000000002</v>
      </c>
      <c r="D10" s="2354"/>
      <c r="E10" s="2353">
        <f>E14+E21</f>
        <v>1.3636999999999999</v>
      </c>
      <c r="F10" s="2355">
        <f>F14+F21</f>
        <v>5.7200000000000001E-2</v>
      </c>
      <c r="G10" s="1749"/>
      <c r="H10" s="1750"/>
    </row>
    <row r="11" spans="1:11" ht="20.25" customHeight="1">
      <c r="A11" s="2984" t="s">
        <v>934</v>
      </c>
      <c r="B11" s="2985"/>
      <c r="C11" s="2985"/>
      <c r="D11" s="2985"/>
      <c r="E11" s="2985"/>
      <c r="F11" s="2986"/>
      <c r="G11" s="1749"/>
      <c r="H11" s="1750"/>
    </row>
    <row r="12" spans="1:11" ht="18.75" customHeight="1" thickBot="1">
      <c r="A12" s="2987" t="s">
        <v>1503</v>
      </c>
      <c r="B12" s="2988"/>
      <c r="C12" s="2988"/>
      <c r="D12" s="2988"/>
      <c r="E12" s="2988"/>
      <c r="F12" s="2989"/>
      <c r="G12" s="1749"/>
      <c r="H12" s="1750"/>
      <c r="J12" s="1756" t="s">
        <v>1504</v>
      </c>
    </row>
    <row r="13" spans="1:11" ht="25.5" customHeight="1">
      <c r="A13" s="1759" t="s">
        <v>933</v>
      </c>
      <c r="B13" s="1760">
        <f>SUM(C13:F13)</f>
        <v>4277.5</v>
      </c>
      <c r="C13" s="2294">
        <f>2900/2</f>
        <v>1450</v>
      </c>
      <c r="D13" s="1923"/>
      <c r="E13" s="2294">
        <f>5600/2</f>
        <v>2800</v>
      </c>
      <c r="F13" s="2295">
        <f>55/2</f>
        <v>27.5</v>
      </c>
      <c r="G13" s="1763"/>
      <c r="H13" s="1750"/>
      <c r="J13" s="1756">
        <v>1583.49</v>
      </c>
    </row>
    <row r="14" spans="1:11" ht="25.5" customHeight="1" thickBot="1">
      <c r="A14" s="1764" t="s">
        <v>464</v>
      </c>
      <c r="B14" s="2352">
        <f>SUM(C14:F14)</f>
        <v>1.7101999999999999</v>
      </c>
      <c r="C14" s="2356">
        <v>0.39600000000000002</v>
      </c>
      <c r="D14" s="2357"/>
      <c r="E14" s="2356">
        <v>1.3051999999999999</v>
      </c>
      <c r="F14" s="2358">
        <f>0.009</f>
        <v>8.9999999999999993E-3</v>
      </c>
      <c r="G14" s="1767">
        <f>F13/F14</f>
        <v>3055.5555555555557</v>
      </c>
      <c r="H14" s="1750"/>
      <c r="J14" s="1768">
        <v>0.44500000000000001</v>
      </c>
      <c r="K14" s="1769">
        <f>J13/J14</f>
        <v>3558.4044943820222</v>
      </c>
    </row>
    <row r="15" spans="1:11" ht="20.25" customHeight="1">
      <c r="A15" s="2990" t="s">
        <v>934</v>
      </c>
      <c r="B15" s="2991"/>
      <c r="C15" s="2991"/>
      <c r="D15" s="2991"/>
      <c r="E15" s="2991"/>
      <c r="F15" s="2992"/>
      <c r="G15" s="1749"/>
      <c r="H15" s="1750"/>
    </row>
    <row r="16" spans="1:11" ht="24" customHeight="1" thickBot="1">
      <c r="A16" s="2993" t="s">
        <v>1505</v>
      </c>
      <c r="B16" s="2993"/>
      <c r="C16" s="2993"/>
      <c r="D16" s="2993"/>
      <c r="E16" s="2993"/>
      <c r="F16" s="2993"/>
      <c r="G16" s="1749"/>
      <c r="H16" s="1750"/>
      <c r="J16" s="1756" t="s">
        <v>1504</v>
      </c>
    </row>
    <row r="17" spans="1:11" ht="24" customHeight="1">
      <c r="A17" s="1759" t="s">
        <v>933</v>
      </c>
      <c r="B17" s="1770"/>
      <c r="C17" s="1771"/>
      <c r="D17" s="1771"/>
      <c r="E17" s="1772"/>
      <c r="F17" s="1773"/>
      <c r="G17" s="1763"/>
      <c r="H17" s="1750"/>
      <c r="J17" s="1756">
        <v>1583.49</v>
      </c>
    </row>
    <row r="18" spans="1:11" ht="24" customHeight="1" thickBot="1">
      <c r="A18" s="1764" t="s">
        <v>464</v>
      </c>
      <c r="B18" s="1774"/>
      <c r="C18" s="1775"/>
      <c r="D18" s="1775"/>
      <c r="E18" s="1776"/>
      <c r="F18" s="1777"/>
      <c r="G18" s="1767" t="e">
        <f>F17/F18</f>
        <v>#DIV/0!</v>
      </c>
      <c r="H18" s="1750"/>
      <c r="J18" s="1768">
        <v>0.44500000000000001</v>
      </c>
      <c r="K18" s="1769">
        <f>J17/J18</f>
        <v>3558.4044943820222</v>
      </c>
    </row>
    <row r="19" spans="1:11" ht="22.5" customHeight="1" thickBot="1">
      <c r="A19" s="2983" t="s">
        <v>1506</v>
      </c>
      <c r="B19" s="2983"/>
      <c r="C19" s="2983"/>
      <c r="D19" s="2983"/>
      <c r="E19" s="2983"/>
      <c r="F19" s="2983"/>
      <c r="G19" s="1778">
        <f>F24+F40</f>
        <v>139.52500000000001</v>
      </c>
      <c r="H19" s="1779" t="s">
        <v>1507</v>
      </c>
      <c r="I19" s="1756"/>
      <c r="J19" s="1756">
        <f>J20+J40</f>
        <v>1183.21</v>
      </c>
    </row>
    <row r="20" spans="1:11" ht="22.5" customHeight="1">
      <c r="A20" s="1751" t="s">
        <v>933</v>
      </c>
      <c r="B20" s="1760">
        <f>SUM(C20:F20)</f>
        <v>346.5</v>
      </c>
      <c r="C20" s="1760"/>
      <c r="D20" s="1760"/>
      <c r="E20" s="1760">
        <f>E24+E27</f>
        <v>190</v>
      </c>
      <c r="F20" s="1780">
        <f>F24+F27</f>
        <v>156.5</v>
      </c>
      <c r="G20" s="1750"/>
      <c r="H20" s="1750"/>
      <c r="J20" s="1744">
        <v>1183.21</v>
      </c>
    </row>
    <row r="21" spans="1:11" ht="22.5" customHeight="1" thickBot="1">
      <c r="A21" s="1764" t="s">
        <v>464</v>
      </c>
      <c r="B21" s="2352">
        <f>SUM(C21:F21)</f>
        <v>0.1067</v>
      </c>
      <c r="C21" s="2352"/>
      <c r="D21" s="2352"/>
      <c r="E21" s="2352">
        <f>E25+E28</f>
        <v>5.8500000000000003E-2</v>
      </c>
      <c r="F21" s="2359">
        <f>F25+F28</f>
        <v>4.82E-2</v>
      </c>
      <c r="G21" s="1767">
        <f>F20/F21</f>
        <v>3246.8879668049794</v>
      </c>
      <c r="H21" s="1750"/>
      <c r="J21" s="1744">
        <v>0.34200000000000003</v>
      </c>
      <c r="K21" s="1769">
        <f>J20/J21</f>
        <v>3459.6783625730991</v>
      </c>
    </row>
    <row r="22" spans="1:11" ht="20.25" customHeight="1">
      <c r="A22" s="2980" t="s">
        <v>934</v>
      </c>
      <c r="B22" s="2980"/>
      <c r="C22" s="2980"/>
      <c r="D22" s="2980"/>
      <c r="E22" s="2980"/>
      <c r="F22" s="2980"/>
      <c r="G22" s="1750"/>
      <c r="H22" s="1750"/>
    </row>
    <row r="23" spans="1:11" ht="21.75" customHeight="1" thickBot="1">
      <c r="A23" s="2977" t="s">
        <v>1508</v>
      </c>
      <c r="B23" s="2977"/>
      <c r="C23" s="2977"/>
      <c r="D23" s="2977"/>
      <c r="E23" s="2977"/>
      <c r="F23" s="2977"/>
      <c r="G23" s="1750"/>
      <c r="H23" s="1750"/>
    </row>
    <row r="24" spans="1:11" ht="22.5" customHeight="1">
      <c r="A24" s="1751" t="s">
        <v>933</v>
      </c>
      <c r="B24" s="1760">
        <f>SUM(C24:F24)</f>
        <v>294.52499999999998</v>
      </c>
      <c r="C24" s="1760"/>
      <c r="D24" s="1760"/>
      <c r="E24" s="1760">
        <f>E34+E44+E54</f>
        <v>161.5</v>
      </c>
      <c r="F24" s="1780">
        <f>F34+F44+F54</f>
        <v>133.02500000000001</v>
      </c>
      <c r="G24" s="1750"/>
      <c r="H24" s="1750"/>
    </row>
    <row r="25" spans="1:11" ht="22.5" customHeight="1" thickBot="1">
      <c r="A25" s="1764" t="s">
        <v>464</v>
      </c>
      <c r="B25" s="2352">
        <f>SUM(C25:F25)</f>
        <v>9.0700000000000003E-2</v>
      </c>
      <c r="C25" s="2352"/>
      <c r="D25" s="2352"/>
      <c r="E25" s="2352">
        <f>E35+E45+E55</f>
        <v>4.9700000000000001E-2</v>
      </c>
      <c r="F25" s="2359">
        <f>F35+F45+F55</f>
        <v>4.1000000000000002E-2</v>
      </c>
      <c r="G25" s="1750"/>
      <c r="H25" s="1750"/>
    </row>
    <row r="26" spans="1:11" ht="24.75" customHeight="1" thickBot="1">
      <c r="A26" s="2978" t="s">
        <v>1509</v>
      </c>
      <c r="B26" s="2978"/>
      <c r="C26" s="2978"/>
      <c r="D26" s="2978"/>
      <c r="E26" s="2978"/>
      <c r="F26" s="2978"/>
      <c r="G26" s="1750"/>
      <c r="H26" s="1750"/>
    </row>
    <row r="27" spans="1:11" ht="24.75" customHeight="1">
      <c r="A27" s="1751" t="s">
        <v>933</v>
      </c>
      <c r="B27" s="1752">
        <f>SUM(C27:F27)</f>
        <v>51.975000000000001</v>
      </c>
      <c r="C27" s="1782"/>
      <c r="D27" s="1782"/>
      <c r="E27" s="1752">
        <f>E37+E47+E57</f>
        <v>28.5</v>
      </c>
      <c r="F27" s="1780">
        <f>F37+F47+F57</f>
        <v>23.475000000000001</v>
      </c>
      <c r="G27" s="1750"/>
      <c r="H27" s="1750"/>
    </row>
    <row r="28" spans="1:11" ht="24.75" customHeight="1" thickBot="1">
      <c r="A28" s="1764" t="s">
        <v>464</v>
      </c>
      <c r="B28" s="2352">
        <f>SUM(C28:F28)</f>
        <v>1.6E-2</v>
      </c>
      <c r="C28" s="2360"/>
      <c r="D28" s="2360"/>
      <c r="E28" s="2352">
        <f>E38+E48+E58</f>
        <v>8.8000000000000005E-3</v>
      </c>
      <c r="F28" s="2359">
        <f>F38+F48+F58</f>
        <v>7.1999999999999998E-3</v>
      </c>
      <c r="G28" s="1750"/>
      <c r="H28" s="1750"/>
    </row>
    <row r="29" spans="1:11" ht="39.75" customHeight="1" thickBot="1">
      <c r="A29" s="2994" t="s">
        <v>1510</v>
      </c>
      <c r="B29" s="2995"/>
      <c r="C29" s="2995"/>
      <c r="D29" s="2995"/>
      <c r="E29" s="2995"/>
      <c r="F29" s="2996"/>
      <c r="G29" s="1778">
        <f>F34+F50</f>
        <v>150</v>
      </c>
      <c r="H29" s="1779" t="s">
        <v>1507</v>
      </c>
      <c r="I29" s="1756"/>
      <c r="J29" s="1756">
        <f>J30+J50</f>
        <v>1923.71</v>
      </c>
    </row>
    <row r="30" spans="1:11" ht="25.5" customHeight="1">
      <c r="A30" s="1751" t="s">
        <v>933</v>
      </c>
      <c r="B30" s="1786"/>
      <c r="C30" s="1782"/>
      <c r="D30" s="1782"/>
      <c r="E30" s="1799"/>
      <c r="F30" s="1800"/>
      <c r="G30" s="1750"/>
      <c r="H30" s="1750"/>
      <c r="J30" s="1744">
        <v>1183.21</v>
      </c>
    </row>
    <row r="31" spans="1:11" ht="25.5" customHeight="1" thickBot="1">
      <c r="A31" s="1764" t="s">
        <v>464</v>
      </c>
      <c r="B31" s="1787"/>
      <c r="C31" s="1775"/>
      <c r="D31" s="1775"/>
      <c r="E31" s="1801"/>
      <c r="F31" s="1802"/>
      <c r="G31" s="1767" t="e">
        <f>F30/F31</f>
        <v>#DIV/0!</v>
      </c>
      <c r="H31" s="1750"/>
      <c r="J31" s="1744">
        <v>0.34200000000000003</v>
      </c>
      <c r="K31" s="1769">
        <f>J30/J31</f>
        <v>3459.6783625730991</v>
      </c>
    </row>
    <row r="32" spans="1:11" ht="19.5" customHeight="1">
      <c r="A32" s="2980" t="s">
        <v>934</v>
      </c>
      <c r="B32" s="2980"/>
      <c r="C32" s="2980"/>
      <c r="D32" s="2980"/>
      <c r="E32" s="2980"/>
      <c r="F32" s="2980"/>
      <c r="G32" s="1750"/>
      <c r="H32" s="1750"/>
    </row>
    <row r="33" spans="1:8" ht="25.5" customHeight="1" thickBot="1">
      <c r="A33" s="2977" t="s">
        <v>1511</v>
      </c>
      <c r="B33" s="2977"/>
      <c r="C33" s="2977"/>
      <c r="D33" s="2977"/>
      <c r="E33" s="2977"/>
      <c r="F33" s="2977"/>
      <c r="G33" s="1750"/>
      <c r="H33" s="1750"/>
    </row>
    <row r="34" spans="1:8" ht="22.5" customHeight="1">
      <c r="A34" s="1751" t="s">
        <v>933</v>
      </c>
      <c r="B34" s="1786"/>
      <c r="C34" s="1782"/>
      <c r="D34" s="1782"/>
      <c r="E34" s="1783"/>
      <c r="F34" s="1784"/>
      <c r="G34" s="1750"/>
      <c r="H34" s="1750"/>
    </row>
    <row r="35" spans="1:8" ht="22.5" customHeight="1" thickBot="1">
      <c r="A35" s="1764" t="s">
        <v>464</v>
      </c>
      <c r="B35" s="1787"/>
      <c r="C35" s="1775"/>
      <c r="D35" s="1775"/>
      <c r="E35" s="1776"/>
      <c r="F35" s="1788"/>
      <c r="G35" s="1750"/>
      <c r="H35" s="1750"/>
    </row>
    <row r="36" spans="1:8" ht="22.5" customHeight="1" thickBot="1">
      <c r="A36" s="2978" t="s">
        <v>1512</v>
      </c>
      <c r="B36" s="2978"/>
      <c r="C36" s="2978"/>
      <c r="D36" s="2978"/>
      <c r="E36" s="2978"/>
      <c r="F36" s="2978"/>
      <c r="G36" s="1750"/>
      <c r="H36" s="1750"/>
    </row>
    <row r="37" spans="1:8" ht="22.5" customHeight="1">
      <c r="A37" s="1751" t="s">
        <v>933</v>
      </c>
      <c r="B37" s="1786"/>
      <c r="C37" s="1782"/>
      <c r="D37" s="1782"/>
      <c r="E37" s="1783"/>
      <c r="F37" s="1789"/>
      <c r="G37" s="1750"/>
      <c r="H37" s="1750"/>
    </row>
    <row r="38" spans="1:8" ht="22.5" customHeight="1" thickBot="1">
      <c r="A38" s="1764" t="s">
        <v>464</v>
      </c>
      <c r="B38" s="1787"/>
      <c r="C38" s="1775"/>
      <c r="D38" s="1775"/>
      <c r="E38" s="1776"/>
      <c r="F38" s="1788"/>
      <c r="G38" s="1750"/>
      <c r="H38" s="1750"/>
    </row>
    <row r="39" spans="1:8" ht="27" customHeight="1" thickBot="1">
      <c r="A39" s="2979" t="s">
        <v>1513</v>
      </c>
      <c r="B39" s="2979"/>
      <c r="C39" s="2979"/>
      <c r="D39" s="2979"/>
      <c r="E39" s="2979"/>
      <c r="F39" s="2979"/>
      <c r="G39" s="1750"/>
      <c r="H39" s="1750"/>
    </row>
    <row r="40" spans="1:8" ht="27" customHeight="1">
      <c r="A40" s="1751" t="s">
        <v>933</v>
      </c>
      <c r="B40" s="1797">
        <f>SUM(C40:F40)</f>
        <v>6.5</v>
      </c>
      <c r="C40" s="1791"/>
      <c r="D40" s="1791"/>
      <c r="E40" s="1799"/>
      <c r="F40" s="2087">
        <f>F44+F47</f>
        <v>6.5</v>
      </c>
      <c r="G40" s="1750"/>
      <c r="H40" s="1750"/>
    </row>
    <row r="41" spans="1:8" ht="27" customHeight="1" thickBot="1">
      <c r="A41" s="1764" t="s">
        <v>464</v>
      </c>
      <c r="B41" s="2361">
        <f>SUM(C41:F41)</f>
        <v>2E-3</v>
      </c>
      <c r="C41" s="2362"/>
      <c r="D41" s="2362"/>
      <c r="E41" s="2363"/>
      <c r="F41" s="1788">
        <f>F45+F48</f>
        <v>2E-3</v>
      </c>
      <c r="G41" s="1750"/>
      <c r="H41" s="1750"/>
    </row>
    <row r="42" spans="1:8" ht="20.25" customHeight="1">
      <c r="A42" s="2980" t="s">
        <v>934</v>
      </c>
      <c r="B42" s="2980"/>
      <c r="C42" s="2980"/>
      <c r="D42" s="2980"/>
      <c r="E42" s="2980"/>
      <c r="F42" s="2980"/>
      <c r="G42" s="1750"/>
      <c r="H42" s="1750"/>
    </row>
    <row r="43" spans="1:8" ht="20.25" customHeight="1" thickBot="1">
      <c r="A43" s="2977" t="s">
        <v>1514</v>
      </c>
      <c r="B43" s="2977"/>
      <c r="C43" s="2977"/>
      <c r="D43" s="2977"/>
      <c r="E43" s="2977"/>
      <c r="F43" s="2977"/>
      <c r="G43" s="1750"/>
      <c r="H43" s="1750"/>
    </row>
    <row r="44" spans="1:8" ht="21.75" customHeight="1">
      <c r="A44" s="1751" t="s">
        <v>933</v>
      </c>
      <c r="B44" s="1797">
        <f>SUM(C44:F44)</f>
        <v>5.5250000000000004</v>
      </c>
      <c r="C44" s="1791"/>
      <c r="D44" s="1791"/>
      <c r="E44" s="1799"/>
      <c r="F44" s="2364">
        <f>11.05/2</f>
        <v>5.5250000000000004</v>
      </c>
      <c r="G44" s="1750"/>
      <c r="H44" s="1750"/>
    </row>
    <row r="45" spans="1:8" ht="21.75" customHeight="1" thickBot="1">
      <c r="A45" s="1764" t="s">
        <v>464</v>
      </c>
      <c r="B45" s="2361">
        <f>SUM(C45:F45)</f>
        <v>1.6999999999999999E-3</v>
      </c>
      <c r="C45" s="2362"/>
      <c r="D45" s="2362"/>
      <c r="E45" s="2363"/>
      <c r="F45" s="2365">
        <v>1.6999999999999999E-3</v>
      </c>
      <c r="G45" s="1750"/>
      <c r="H45" s="1750"/>
    </row>
    <row r="46" spans="1:8" ht="25.5" customHeight="1" thickBot="1">
      <c r="A46" s="2978" t="s">
        <v>1515</v>
      </c>
      <c r="B46" s="2978"/>
      <c r="C46" s="2978"/>
      <c r="D46" s="2978"/>
      <c r="E46" s="2978"/>
      <c r="F46" s="2978"/>
      <c r="G46" s="1750"/>
      <c r="H46" s="1750"/>
    </row>
    <row r="47" spans="1:8" ht="22.5" customHeight="1">
      <c r="A47" s="1751" t="s">
        <v>933</v>
      </c>
      <c r="B47" s="1797">
        <f>SUM(C47:F47)</f>
        <v>0.97499999999999998</v>
      </c>
      <c r="C47" s="1791"/>
      <c r="D47" s="1791"/>
      <c r="E47" s="1799"/>
      <c r="F47" s="2364">
        <f>1.95/2</f>
        <v>0.97499999999999998</v>
      </c>
      <c r="G47" s="1750"/>
      <c r="H47" s="1750"/>
    </row>
    <row r="48" spans="1:8" ht="22.5" customHeight="1" thickBot="1">
      <c r="A48" s="1764" t="s">
        <v>464</v>
      </c>
      <c r="B48" s="2361">
        <f>SUM(C48:F48)</f>
        <v>2.9999999999999997E-4</v>
      </c>
      <c r="C48" s="2362"/>
      <c r="D48" s="2362"/>
      <c r="E48" s="2363"/>
      <c r="F48" s="2365">
        <v>2.9999999999999997E-4</v>
      </c>
      <c r="G48" s="1750"/>
      <c r="H48" s="1750"/>
    </row>
    <row r="49" spans="1:14" ht="21" customHeight="1" thickBot="1">
      <c r="A49" s="2979" t="s">
        <v>1516</v>
      </c>
      <c r="B49" s="2979"/>
      <c r="C49" s="2979"/>
      <c r="D49" s="2979"/>
      <c r="E49" s="2979"/>
      <c r="F49" s="2979"/>
      <c r="G49" s="1750"/>
      <c r="H49" s="1750"/>
      <c r="N49" s="1744" t="s">
        <v>1653</v>
      </c>
    </row>
    <row r="50" spans="1:14" ht="21" customHeight="1">
      <c r="A50" s="1751" t="s">
        <v>933</v>
      </c>
      <c r="B50" s="1797">
        <f>SUM(C50:F50)</f>
        <v>340</v>
      </c>
      <c r="C50" s="1798"/>
      <c r="D50" s="1798"/>
      <c r="E50" s="1799">
        <f>E54+E57</f>
        <v>190</v>
      </c>
      <c r="F50" s="1800">
        <f>F54+F57</f>
        <v>150</v>
      </c>
      <c r="G50" s="1750"/>
      <c r="H50" s="1750"/>
      <c r="J50" s="1744">
        <v>740.5</v>
      </c>
    </row>
    <row r="51" spans="1:14" ht="21" customHeight="1" thickBot="1">
      <c r="A51" s="1764" t="s">
        <v>464</v>
      </c>
      <c r="B51" s="2361">
        <f>SUM(C51:F51)</f>
        <v>0.10470000000000002</v>
      </c>
      <c r="C51" s="2362"/>
      <c r="D51" s="2362"/>
      <c r="E51" s="2363">
        <f>E55+E58</f>
        <v>5.8500000000000003E-2</v>
      </c>
      <c r="F51" s="2366">
        <f>F55+F58</f>
        <v>4.6200000000000005E-2</v>
      </c>
      <c r="G51" s="1767">
        <f>F50/F51</f>
        <v>3246.7532467532465</v>
      </c>
      <c r="H51" s="1750"/>
      <c r="J51" s="1768">
        <v>0.23300000000000001</v>
      </c>
      <c r="K51" s="1769">
        <f>J50/J51</f>
        <v>3178.1115879828326</v>
      </c>
    </row>
    <row r="52" spans="1:14" ht="15.75" customHeight="1">
      <c r="A52" s="2980" t="s">
        <v>934</v>
      </c>
      <c r="B52" s="2980"/>
      <c r="C52" s="2980"/>
      <c r="D52" s="2980"/>
      <c r="E52" s="2980"/>
      <c r="F52" s="2980"/>
      <c r="G52" s="1750"/>
      <c r="H52" s="1750"/>
    </row>
    <row r="53" spans="1:14" ht="23.25" customHeight="1" thickBot="1">
      <c r="A53" s="2977" t="s">
        <v>1517</v>
      </c>
      <c r="B53" s="2977"/>
      <c r="C53" s="2977"/>
      <c r="D53" s="2977"/>
      <c r="E53" s="2977"/>
      <c r="F53" s="2977"/>
      <c r="G53" s="1750"/>
      <c r="H53" s="1750"/>
    </row>
    <row r="54" spans="1:14" ht="23.25" customHeight="1">
      <c r="A54" s="1751" t="s">
        <v>933</v>
      </c>
      <c r="B54" s="1803">
        <f>SUM(C54:F54)</f>
        <v>289</v>
      </c>
      <c r="C54" s="1754"/>
      <c r="D54" s="1754"/>
      <c r="E54" s="1924">
        <f>323/2</f>
        <v>161.5</v>
      </c>
      <c r="F54" s="2296">
        <f>255/2</f>
        <v>127.5</v>
      </c>
      <c r="G54" s="1750"/>
      <c r="H54" s="1750"/>
    </row>
    <row r="55" spans="1:14" ht="23.25" customHeight="1" thickBot="1">
      <c r="A55" s="1764" t="s">
        <v>464</v>
      </c>
      <c r="B55" s="2361">
        <f>SUM(C55:F55)</f>
        <v>8.8999999999999996E-2</v>
      </c>
      <c r="C55" s="2360"/>
      <c r="D55" s="2360"/>
      <c r="E55" s="2367">
        <v>4.9700000000000001E-2</v>
      </c>
      <c r="F55" s="2368">
        <v>3.9300000000000002E-2</v>
      </c>
      <c r="G55" s="1750"/>
      <c r="H55" s="1750"/>
    </row>
    <row r="56" spans="1:14" ht="19.5" customHeight="1" thickBot="1">
      <c r="A56" s="2978" t="s">
        <v>1518</v>
      </c>
      <c r="B56" s="2978"/>
      <c r="C56" s="2978"/>
      <c r="D56" s="2978"/>
      <c r="E56" s="2978"/>
      <c r="F56" s="2978"/>
      <c r="G56" s="1750"/>
      <c r="H56" s="1750"/>
    </row>
    <row r="57" spans="1:14" ht="19.5" customHeight="1">
      <c r="A57" s="1751" t="s">
        <v>933</v>
      </c>
      <c r="B57" s="1803">
        <f>SUM(C57:F57)</f>
        <v>51</v>
      </c>
      <c r="C57" s="1782"/>
      <c r="D57" s="1782"/>
      <c r="E57" s="1924">
        <f>57/2</f>
        <v>28.5</v>
      </c>
      <c r="F57" s="2296">
        <f>45/2</f>
        <v>22.5</v>
      </c>
      <c r="G57" s="1750"/>
      <c r="H57" s="1750"/>
    </row>
    <row r="58" spans="1:14" ht="19.5" customHeight="1" thickBot="1">
      <c r="A58" s="1764" t="s">
        <v>464</v>
      </c>
      <c r="B58" s="2361">
        <f>SUM(C58:F58)</f>
        <v>1.5699999999999999E-2</v>
      </c>
      <c r="C58" s="2360"/>
      <c r="D58" s="2360"/>
      <c r="E58" s="2367">
        <v>8.8000000000000005E-3</v>
      </c>
      <c r="F58" s="2368">
        <v>6.8999999999999999E-3</v>
      </c>
    </row>
    <row r="59" spans="1:14" ht="27.75" customHeight="1" thickBot="1">
      <c r="A59" s="2981" t="s">
        <v>1519</v>
      </c>
      <c r="B59" s="2981"/>
      <c r="C59" s="2981"/>
      <c r="D59" s="2981"/>
      <c r="E59" s="2981"/>
      <c r="F59" s="2981"/>
      <c r="G59" s="1805" t="s">
        <v>1520</v>
      </c>
    </row>
    <row r="60" spans="1:14" ht="26.25" customHeight="1">
      <c r="A60" s="1806" t="s">
        <v>933</v>
      </c>
      <c r="B60" s="1752">
        <f>SUM(C60:F60)</f>
        <v>75378.010499999989</v>
      </c>
      <c r="C60" s="1761">
        <f>150484.197/2</f>
        <v>75242.098499999993</v>
      </c>
      <c r="D60" s="1761"/>
      <c r="E60" s="1761"/>
      <c r="F60" s="1762">
        <f>271.824/2</f>
        <v>135.91200000000001</v>
      </c>
      <c r="G60" s="1805" t="s">
        <v>1521</v>
      </c>
    </row>
    <row r="61" spans="1:14" ht="26.25" customHeight="1" thickBot="1">
      <c r="A61" s="1807" t="s">
        <v>464</v>
      </c>
      <c r="B61" s="1758">
        <f>SUM(C61:F61)</f>
        <v>32.386130000000001</v>
      </c>
      <c r="C61" s="1765">
        <v>32</v>
      </c>
      <c r="D61" s="1765"/>
      <c r="E61" s="1765"/>
      <c r="F61" s="1766">
        <v>0.38612999999999997</v>
      </c>
    </row>
    <row r="62" spans="1:14" ht="24" customHeight="1">
      <c r="A62" s="1808"/>
      <c r="B62" s="1809"/>
      <c r="C62" s="1749"/>
      <c r="D62" s="1749"/>
      <c r="E62" s="2344"/>
      <c r="F62" s="2344"/>
    </row>
    <row r="63" spans="1:14" s="2293" customFormat="1" ht="17.25" customHeight="1">
      <c r="A63" s="2972" t="s">
        <v>1522</v>
      </c>
      <c r="B63" s="2972"/>
      <c r="C63" s="2972"/>
      <c r="D63" s="2972"/>
      <c r="E63" s="2972"/>
      <c r="F63" s="2972"/>
    </row>
    <row r="64" spans="1:14" s="2293" customFormat="1" ht="17.25" customHeight="1">
      <c r="A64" s="2972" t="s">
        <v>1523</v>
      </c>
      <c r="B64" s="2972"/>
      <c r="C64" s="2972"/>
      <c r="D64" s="2972"/>
      <c r="E64" s="2972"/>
      <c r="F64" s="2972"/>
    </row>
    <row r="65" spans="1:6" ht="23.25" customHeight="1">
      <c r="A65" s="2973" t="s">
        <v>1524</v>
      </c>
      <c r="B65" s="2973"/>
      <c r="D65" s="2974" t="s">
        <v>1829</v>
      </c>
      <c r="E65" s="2974"/>
      <c r="F65" s="2974"/>
    </row>
    <row r="66" spans="1:6" hidden="1">
      <c r="A66" s="2973"/>
      <c r="B66" s="2973"/>
      <c r="D66" s="2974"/>
      <c r="E66" s="2974"/>
      <c r="F66" s="2974"/>
    </row>
    <row r="67" spans="1:6" hidden="1">
      <c r="A67" s="2973"/>
      <c r="B67" s="2973"/>
      <c r="D67" s="2974"/>
      <c r="E67" s="2974"/>
      <c r="F67" s="2974"/>
    </row>
    <row r="68" spans="1:6" hidden="1">
      <c r="A68" s="2973"/>
      <c r="B68" s="2973"/>
      <c r="D68" s="2974"/>
      <c r="E68" s="2974"/>
      <c r="F68" s="2974"/>
    </row>
    <row r="69" spans="1:6" hidden="1">
      <c r="A69" s="2973"/>
      <c r="B69" s="2973"/>
      <c r="D69" s="2974"/>
      <c r="E69" s="2974"/>
      <c r="F69" s="2974"/>
    </row>
    <row r="70" spans="1:6" s="1810" customFormat="1" ht="13.8">
      <c r="A70" s="2973"/>
      <c r="B70" s="2973"/>
      <c r="D70" s="2974"/>
      <c r="E70" s="2974"/>
      <c r="F70" s="2974"/>
    </row>
    <row r="71" spans="1:6" s="1810" customFormat="1" ht="32.25" customHeight="1">
      <c r="A71" s="2975" t="s">
        <v>1525</v>
      </c>
      <c r="B71" s="2975"/>
      <c r="D71" s="2976" t="s">
        <v>733</v>
      </c>
      <c r="E71" s="2976"/>
      <c r="F71" s="2976"/>
    </row>
    <row r="72" spans="1:6" s="1810" customFormat="1" ht="13.8">
      <c r="A72" s="2975" t="s">
        <v>1526</v>
      </c>
      <c r="B72" s="2975"/>
      <c r="D72" s="2975" t="s">
        <v>1526</v>
      </c>
      <c r="E72" s="2975"/>
      <c r="F72" s="2975"/>
    </row>
    <row r="73" spans="1:6" s="1810" customFormat="1" ht="13.8">
      <c r="A73" s="2970" t="s">
        <v>944</v>
      </c>
      <c r="B73" s="2970"/>
      <c r="D73" s="2970" t="s">
        <v>944</v>
      </c>
      <c r="E73" s="2970"/>
      <c r="F73" s="2970"/>
    </row>
    <row r="75" spans="1:6" hidden="1"/>
    <row r="76" spans="1:6" hidden="1"/>
    <row r="77" spans="1:6" s="1811" customFormat="1" ht="21" customHeight="1">
      <c r="A77" s="2971" t="s">
        <v>1527</v>
      </c>
      <c r="B77" s="2971"/>
    </row>
    <row r="78" spans="1:6" hidden="1">
      <c r="D78" s="1812"/>
    </row>
  </sheetData>
  <sheetProtection selectLockedCells="1" selectUnlockedCells="1"/>
  <mergeCells count="40">
    <mergeCell ref="A1:F1"/>
    <mergeCell ref="A2:F2"/>
    <mergeCell ref="A3:F3"/>
    <mergeCell ref="A5:A6"/>
    <mergeCell ref="B5:B6"/>
    <mergeCell ref="C5:F5"/>
    <mergeCell ref="A32:F32"/>
    <mergeCell ref="A7:F7"/>
    <mergeCell ref="A8:F8"/>
    <mergeCell ref="A11:F11"/>
    <mergeCell ref="A12:F12"/>
    <mergeCell ref="A15:F15"/>
    <mergeCell ref="A16:F16"/>
    <mergeCell ref="A19:F19"/>
    <mergeCell ref="A22:F22"/>
    <mergeCell ref="A23:F23"/>
    <mergeCell ref="A26:F26"/>
    <mergeCell ref="A29:F29"/>
    <mergeCell ref="A63:F63"/>
    <mergeCell ref="A33:F33"/>
    <mergeCell ref="A36:F36"/>
    <mergeCell ref="A39:F39"/>
    <mergeCell ref="A42:F42"/>
    <mergeCell ref="A43:F43"/>
    <mergeCell ref="A46:F46"/>
    <mergeCell ref="A49:F49"/>
    <mergeCell ref="A52:F52"/>
    <mergeCell ref="A53:F53"/>
    <mergeCell ref="A56:F56"/>
    <mergeCell ref="A59:F59"/>
    <mergeCell ref="A73:B73"/>
    <mergeCell ref="D73:F73"/>
    <mergeCell ref="A77:B77"/>
    <mergeCell ref="A64:F64"/>
    <mergeCell ref="A65:B70"/>
    <mergeCell ref="D65:F70"/>
    <mergeCell ref="A71:B71"/>
    <mergeCell ref="D71:F71"/>
    <mergeCell ref="A72:B72"/>
    <mergeCell ref="D72:F72"/>
  </mergeCells>
  <printOptions horizontalCentered="1"/>
  <pageMargins left="0.78740157480314965" right="0.19685039370078741" top="0.59055118110236227" bottom="0.19685039370078741" header="0.51181102362204722" footer="0.51181102362204722"/>
  <pageSetup paperSize="9" scale="51" firstPageNumber="0" orientation="portrait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CCFFCC"/>
  </sheetPr>
  <dimension ref="A1:N78"/>
  <sheetViews>
    <sheetView zoomScale="85" zoomScaleNormal="85" zoomScaleSheetLayoutView="75" workbookViewId="0">
      <pane ySplit="6" topLeftCell="A14" activePane="bottomLeft" state="frozen"/>
      <selection sqref="A1:XFD1048576"/>
      <selection pane="bottomLeft" sqref="A1:XFD1048576"/>
    </sheetView>
  </sheetViews>
  <sheetFormatPr defaultRowHeight="13.2"/>
  <cols>
    <col min="1" max="1" width="60.6640625" style="1744" customWidth="1"/>
    <col min="2" max="2" width="24.33203125" style="1744" customWidth="1"/>
    <col min="3" max="6" width="17.6640625" style="1744" customWidth="1"/>
    <col min="7" max="12" width="0" style="1744" hidden="1" customWidth="1"/>
    <col min="13" max="256" width="9.109375" style="1744"/>
    <col min="257" max="257" width="60.6640625" style="1744" customWidth="1"/>
    <col min="258" max="258" width="24.33203125" style="1744" customWidth="1"/>
    <col min="259" max="262" width="17.6640625" style="1744" customWidth="1"/>
    <col min="263" max="268" width="0" style="1744" hidden="1" customWidth="1"/>
    <col min="269" max="512" width="9.109375" style="1744"/>
    <col min="513" max="513" width="60.6640625" style="1744" customWidth="1"/>
    <col min="514" max="514" width="24.33203125" style="1744" customWidth="1"/>
    <col min="515" max="518" width="17.6640625" style="1744" customWidth="1"/>
    <col min="519" max="524" width="0" style="1744" hidden="1" customWidth="1"/>
    <col min="525" max="768" width="9.109375" style="1744"/>
    <col min="769" max="769" width="60.6640625" style="1744" customWidth="1"/>
    <col min="770" max="770" width="24.33203125" style="1744" customWidth="1"/>
    <col min="771" max="774" width="17.6640625" style="1744" customWidth="1"/>
    <col min="775" max="780" width="0" style="1744" hidden="1" customWidth="1"/>
    <col min="781" max="1024" width="9.109375" style="1744"/>
    <col min="1025" max="1025" width="60.6640625" style="1744" customWidth="1"/>
    <col min="1026" max="1026" width="24.33203125" style="1744" customWidth="1"/>
    <col min="1027" max="1030" width="17.6640625" style="1744" customWidth="1"/>
    <col min="1031" max="1036" width="0" style="1744" hidden="1" customWidth="1"/>
    <col min="1037" max="1280" width="9.109375" style="1744"/>
    <col min="1281" max="1281" width="60.6640625" style="1744" customWidth="1"/>
    <col min="1282" max="1282" width="24.33203125" style="1744" customWidth="1"/>
    <col min="1283" max="1286" width="17.6640625" style="1744" customWidth="1"/>
    <col min="1287" max="1292" width="0" style="1744" hidden="1" customWidth="1"/>
    <col min="1293" max="1536" width="9.109375" style="1744"/>
    <col min="1537" max="1537" width="60.6640625" style="1744" customWidth="1"/>
    <col min="1538" max="1538" width="24.33203125" style="1744" customWidth="1"/>
    <col min="1539" max="1542" width="17.6640625" style="1744" customWidth="1"/>
    <col min="1543" max="1548" width="0" style="1744" hidden="1" customWidth="1"/>
    <col min="1549" max="1792" width="9.109375" style="1744"/>
    <col min="1793" max="1793" width="60.6640625" style="1744" customWidth="1"/>
    <col min="1794" max="1794" width="24.33203125" style="1744" customWidth="1"/>
    <col min="1795" max="1798" width="17.6640625" style="1744" customWidth="1"/>
    <col min="1799" max="1804" width="0" style="1744" hidden="1" customWidth="1"/>
    <col min="1805" max="2048" width="9.109375" style="1744"/>
    <col min="2049" max="2049" width="60.6640625" style="1744" customWidth="1"/>
    <col min="2050" max="2050" width="24.33203125" style="1744" customWidth="1"/>
    <col min="2051" max="2054" width="17.6640625" style="1744" customWidth="1"/>
    <col min="2055" max="2060" width="0" style="1744" hidden="1" customWidth="1"/>
    <col min="2061" max="2304" width="9.109375" style="1744"/>
    <col min="2305" max="2305" width="60.6640625" style="1744" customWidth="1"/>
    <col min="2306" max="2306" width="24.33203125" style="1744" customWidth="1"/>
    <col min="2307" max="2310" width="17.6640625" style="1744" customWidth="1"/>
    <col min="2311" max="2316" width="0" style="1744" hidden="1" customWidth="1"/>
    <col min="2317" max="2560" width="9.109375" style="1744"/>
    <col min="2561" max="2561" width="60.6640625" style="1744" customWidth="1"/>
    <col min="2562" max="2562" width="24.33203125" style="1744" customWidth="1"/>
    <col min="2563" max="2566" width="17.6640625" style="1744" customWidth="1"/>
    <col min="2567" max="2572" width="0" style="1744" hidden="1" customWidth="1"/>
    <col min="2573" max="2816" width="9.109375" style="1744"/>
    <col min="2817" max="2817" width="60.6640625" style="1744" customWidth="1"/>
    <col min="2818" max="2818" width="24.33203125" style="1744" customWidth="1"/>
    <col min="2819" max="2822" width="17.6640625" style="1744" customWidth="1"/>
    <col min="2823" max="2828" width="0" style="1744" hidden="1" customWidth="1"/>
    <col min="2829" max="3072" width="9.109375" style="1744"/>
    <col min="3073" max="3073" width="60.6640625" style="1744" customWidth="1"/>
    <col min="3074" max="3074" width="24.33203125" style="1744" customWidth="1"/>
    <col min="3075" max="3078" width="17.6640625" style="1744" customWidth="1"/>
    <col min="3079" max="3084" width="0" style="1744" hidden="1" customWidth="1"/>
    <col min="3085" max="3328" width="9.109375" style="1744"/>
    <col min="3329" max="3329" width="60.6640625" style="1744" customWidth="1"/>
    <col min="3330" max="3330" width="24.33203125" style="1744" customWidth="1"/>
    <col min="3331" max="3334" width="17.6640625" style="1744" customWidth="1"/>
    <col min="3335" max="3340" width="0" style="1744" hidden="1" customWidth="1"/>
    <col min="3341" max="3584" width="9.109375" style="1744"/>
    <col min="3585" max="3585" width="60.6640625" style="1744" customWidth="1"/>
    <col min="3586" max="3586" width="24.33203125" style="1744" customWidth="1"/>
    <col min="3587" max="3590" width="17.6640625" style="1744" customWidth="1"/>
    <col min="3591" max="3596" width="0" style="1744" hidden="1" customWidth="1"/>
    <col min="3597" max="3840" width="9.109375" style="1744"/>
    <col min="3841" max="3841" width="60.6640625" style="1744" customWidth="1"/>
    <col min="3842" max="3842" width="24.33203125" style="1744" customWidth="1"/>
    <col min="3843" max="3846" width="17.6640625" style="1744" customWidth="1"/>
    <col min="3847" max="3852" width="0" style="1744" hidden="1" customWidth="1"/>
    <col min="3853" max="4096" width="9.109375" style="1744"/>
    <col min="4097" max="4097" width="60.6640625" style="1744" customWidth="1"/>
    <col min="4098" max="4098" width="24.33203125" style="1744" customWidth="1"/>
    <col min="4099" max="4102" width="17.6640625" style="1744" customWidth="1"/>
    <col min="4103" max="4108" width="0" style="1744" hidden="1" customWidth="1"/>
    <col min="4109" max="4352" width="9.109375" style="1744"/>
    <col min="4353" max="4353" width="60.6640625" style="1744" customWidth="1"/>
    <col min="4354" max="4354" width="24.33203125" style="1744" customWidth="1"/>
    <col min="4355" max="4358" width="17.6640625" style="1744" customWidth="1"/>
    <col min="4359" max="4364" width="0" style="1744" hidden="1" customWidth="1"/>
    <col min="4365" max="4608" width="9.109375" style="1744"/>
    <col min="4609" max="4609" width="60.6640625" style="1744" customWidth="1"/>
    <col min="4610" max="4610" width="24.33203125" style="1744" customWidth="1"/>
    <col min="4611" max="4614" width="17.6640625" style="1744" customWidth="1"/>
    <col min="4615" max="4620" width="0" style="1744" hidden="1" customWidth="1"/>
    <col min="4621" max="4864" width="9.109375" style="1744"/>
    <col min="4865" max="4865" width="60.6640625" style="1744" customWidth="1"/>
    <col min="4866" max="4866" width="24.33203125" style="1744" customWidth="1"/>
    <col min="4867" max="4870" width="17.6640625" style="1744" customWidth="1"/>
    <col min="4871" max="4876" width="0" style="1744" hidden="1" customWidth="1"/>
    <col min="4877" max="5120" width="9.109375" style="1744"/>
    <col min="5121" max="5121" width="60.6640625" style="1744" customWidth="1"/>
    <col min="5122" max="5122" width="24.33203125" style="1744" customWidth="1"/>
    <col min="5123" max="5126" width="17.6640625" style="1744" customWidth="1"/>
    <col min="5127" max="5132" width="0" style="1744" hidden="1" customWidth="1"/>
    <col min="5133" max="5376" width="9.109375" style="1744"/>
    <col min="5377" max="5377" width="60.6640625" style="1744" customWidth="1"/>
    <col min="5378" max="5378" width="24.33203125" style="1744" customWidth="1"/>
    <col min="5379" max="5382" width="17.6640625" style="1744" customWidth="1"/>
    <col min="5383" max="5388" width="0" style="1744" hidden="1" customWidth="1"/>
    <col min="5389" max="5632" width="9.109375" style="1744"/>
    <col min="5633" max="5633" width="60.6640625" style="1744" customWidth="1"/>
    <col min="5634" max="5634" width="24.33203125" style="1744" customWidth="1"/>
    <col min="5635" max="5638" width="17.6640625" style="1744" customWidth="1"/>
    <col min="5639" max="5644" width="0" style="1744" hidden="1" customWidth="1"/>
    <col min="5645" max="5888" width="9.109375" style="1744"/>
    <col min="5889" max="5889" width="60.6640625" style="1744" customWidth="1"/>
    <col min="5890" max="5890" width="24.33203125" style="1744" customWidth="1"/>
    <col min="5891" max="5894" width="17.6640625" style="1744" customWidth="1"/>
    <col min="5895" max="5900" width="0" style="1744" hidden="1" customWidth="1"/>
    <col min="5901" max="6144" width="9.109375" style="1744"/>
    <col min="6145" max="6145" width="60.6640625" style="1744" customWidth="1"/>
    <col min="6146" max="6146" width="24.33203125" style="1744" customWidth="1"/>
    <col min="6147" max="6150" width="17.6640625" style="1744" customWidth="1"/>
    <col min="6151" max="6156" width="0" style="1744" hidden="1" customWidth="1"/>
    <col min="6157" max="6400" width="9.109375" style="1744"/>
    <col min="6401" max="6401" width="60.6640625" style="1744" customWidth="1"/>
    <col min="6402" max="6402" width="24.33203125" style="1744" customWidth="1"/>
    <col min="6403" max="6406" width="17.6640625" style="1744" customWidth="1"/>
    <col min="6407" max="6412" width="0" style="1744" hidden="1" customWidth="1"/>
    <col min="6413" max="6656" width="9.109375" style="1744"/>
    <col min="6657" max="6657" width="60.6640625" style="1744" customWidth="1"/>
    <col min="6658" max="6658" width="24.33203125" style="1744" customWidth="1"/>
    <col min="6659" max="6662" width="17.6640625" style="1744" customWidth="1"/>
    <col min="6663" max="6668" width="0" style="1744" hidden="1" customWidth="1"/>
    <col min="6669" max="6912" width="9.109375" style="1744"/>
    <col min="6913" max="6913" width="60.6640625" style="1744" customWidth="1"/>
    <col min="6914" max="6914" width="24.33203125" style="1744" customWidth="1"/>
    <col min="6915" max="6918" width="17.6640625" style="1744" customWidth="1"/>
    <col min="6919" max="6924" width="0" style="1744" hidden="1" customWidth="1"/>
    <col min="6925" max="7168" width="9.109375" style="1744"/>
    <col min="7169" max="7169" width="60.6640625" style="1744" customWidth="1"/>
    <col min="7170" max="7170" width="24.33203125" style="1744" customWidth="1"/>
    <col min="7171" max="7174" width="17.6640625" style="1744" customWidth="1"/>
    <col min="7175" max="7180" width="0" style="1744" hidden="1" customWidth="1"/>
    <col min="7181" max="7424" width="9.109375" style="1744"/>
    <col min="7425" max="7425" width="60.6640625" style="1744" customWidth="1"/>
    <col min="7426" max="7426" width="24.33203125" style="1744" customWidth="1"/>
    <col min="7427" max="7430" width="17.6640625" style="1744" customWidth="1"/>
    <col min="7431" max="7436" width="0" style="1744" hidden="1" customWidth="1"/>
    <col min="7437" max="7680" width="9.109375" style="1744"/>
    <col min="7681" max="7681" width="60.6640625" style="1744" customWidth="1"/>
    <col min="7682" max="7682" width="24.33203125" style="1744" customWidth="1"/>
    <col min="7683" max="7686" width="17.6640625" style="1744" customWidth="1"/>
    <col min="7687" max="7692" width="0" style="1744" hidden="1" customWidth="1"/>
    <col min="7693" max="7936" width="9.109375" style="1744"/>
    <col min="7937" max="7937" width="60.6640625" style="1744" customWidth="1"/>
    <col min="7938" max="7938" width="24.33203125" style="1744" customWidth="1"/>
    <col min="7939" max="7942" width="17.6640625" style="1744" customWidth="1"/>
    <col min="7943" max="7948" width="0" style="1744" hidden="1" customWidth="1"/>
    <col min="7949" max="8192" width="9.109375" style="1744"/>
    <col min="8193" max="8193" width="60.6640625" style="1744" customWidth="1"/>
    <col min="8194" max="8194" width="24.33203125" style="1744" customWidth="1"/>
    <col min="8195" max="8198" width="17.6640625" style="1744" customWidth="1"/>
    <col min="8199" max="8204" width="0" style="1744" hidden="1" customWidth="1"/>
    <col min="8205" max="8448" width="9.109375" style="1744"/>
    <col min="8449" max="8449" width="60.6640625" style="1744" customWidth="1"/>
    <col min="8450" max="8450" width="24.33203125" style="1744" customWidth="1"/>
    <col min="8451" max="8454" width="17.6640625" style="1744" customWidth="1"/>
    <col min="8455" max="8460" width="0" style="1744" hidden="1" customWidth="1"/>
    <col min="8461" max="8704" width="9.109375" style="1744"/>
    <col min="8705" max="8705" width="60.6640625" style="1744" customWidth="1"/>
    <col min="8706" max="8706" width="24.33203125" style="1744" customWidth="1"/>
    <col min="8707" max="8710" width="17.6640625" style="1744" customWidth="1"/>
    <col min="8711" max="8716" width="0" style="1744" hidden="1" customWidth="1"/>
    <col min="8717" max="8960" width="9.109375" style="1744"/>
    <col min="8961" max="8961" width="60.6640625" style="1744" customWidth="1"/>
    <col min="8962" max="8962" width="24.33203125" style="1744" customWidth="1"/>
    <col min="8963" max="8966" width="17.6640625" style="1744" customWidth="1"/>
    <col min="8967" max="8972" width="0" style="1744" hidden="1" customWidth="1"/>
    <col min="8973" max="9216" width="9.109375" style="1744"/>
    <col min="9217" max="9217" width="60.6640625" style="1744" customWidth="1"/>
    <col min="9218" max="9218" width="24.33203125" style="1744" customWidth="1"/>
    <col min="9219" max="9222" width="17.6640625" style="1744" customWidth="1"/>
    <col min="9223" max="9228" width="0" style="1744" hidden="1" customWidth="1"/>
    <col min="9229" max="9472" width="9.109375" style="1744"/>
    <col min="9473" max="9473" width="60.6640625" style="1744" customWidth="1"/>
    <col min="9474" max="9474" width="24.33203125" style="1744" customWidth="1"/>
    <col min="9475" max="9478" width="17.6640625" style="1744" customWidth="1"/>
    <col min="9479" max="9484" width="0" style="1744" hidden="1" customWidth="1"/>
    <col min="9485" max="9728" width="9.109375" style="1744"/>
    <col min="9729" max="9729" width="60.6640625" style="1744" customWidth="1"/>
    <col min="9730" max="9730" width="24.33203125" style="1744" customWidth="1"/>
    <col min="9731" max="9734" width="17.6640625" style="1744" customWidth="1"/>
    <col min="9735" max="9740" width="0" style="1744" hidden="1" customWidth="1"/>
    <col min="9741" max="9984" width="9.109375" style="1744"/>
    <col min="9985" max="9985" width="60.6640625" style="1744" customWidth="1"/>
    <col min="9986" max="9986" width="24.33203125" style="1744" customWidth="1"/>
    <col min="9987" max="9990" width="17.6640625" style="1744" customWidth="1"/>
    <col min="9991" max="9996" width="0" style="1744" hidden="1" customWidth="1"/>
    <col min="9997" max="10240" width="9.109375" style="1744"/>
    <col min="10241" max="10241" width="60.6640625" style="1744" customWidth="1"/>
    <col min="10242" max="10242" width="24.33203125" style="1744" customWidth="1"/>
    <col min="10243" max="10246" width="17.6640625" style="1744" customWidth="1"/>
    <col min="10247" max="10252" width="0" style="1744" hidden="1" customWidth="1"/>
    <col min="10253" max="10496" width="9.109375" style="1744"/>
    <col min="10497" max="10497" width="60.6640625" style="1744" customWidth="1"/>
    <col min="10498" max="10498" width="24.33203125" style="1744" customWidth="1"/>
    <col min="10499" max="10502" width="17.6640625" style="1744" customWidth="1"/>
    <col min="10503" max="10508" width="0" style="1744" hidden="1" customWidth="1"/>
    <col min="10509" max="10752" width="9.109375" style="1744"/>
    <col min="10753" max="10753" width="60.6640625" style="1744" customWidth="1"/>
    <col min="10754" max="10754" width="24.33203125" style="1744" customWidth="1"/>
    <col min="10755" max="10758" width="17.6640625" style="1744" customWidth="1"/>
    <col min="10759" max="10764" width="0" style="1744" hidden="1" customWidth="1"/>
    <col min="10765" max="11008" width="9.109375" style="1744"/>
    <col min="11009" max="11009" width="60.6640625" style="1744" customWidth="1"/>
    <col min="11010" max="11010" width="24.33203125" style="1744" customWidth="1"/>
    <col min="11011" max="11014" width="17.6640625" style="1744" customWidth="1"/>
    <col min="11015" max="11020" width="0" style="1744" hidden="1" customWidth="1"/>
    <col min="11021" max="11264" width="9.109375" style="1744"/>
    <col min="11265" max="11265" width="60.6640625" style="1744" customWidth="1"/>
    <col min="11266" max="11266" width="24.33203125" style="1744" customWidth="1"/>
    <col min="11267" max="11270" width="17.6640625" style="1744" customWidth="1"/>
    <col min="11271" max="11276" width="0" style="1744" hidden="1" customWidth="1"/>
    <col min="11277" max="11520" width="9.109375" style="1744"/>
    <col min="11521" max="11521" width="60.6640625" style="1744" customWidth="1"/>
    <col min="11522" max="11522" width="24.33203125" style="1744" customWidth="1"/>
    <col min="11523" max="11526" width="17.6640625" style="1744" customWidth="1"/>
    <col min="11527" max="11532" width="0" style="1744" hidden="1" customWidth="1"/>
    <col min="11533" max="11776" width="9.109375" style="1744"/>
    <col min="11777" max="11777" width="60.6640625" style="1744" customWidth="1"/>
    <col min="11778" max="11778" width="24.33203125" style="1744" customWidth="1"/>
    <col min="11779" max="11782" width="17.6640625" style="1744" customWidth="1"/>
    <col min="11783" max="11788" width="0" style="1744" hidden="1" customWidth="1"/>
    <col min="11789" max="12032" width="9.109375" style="1744"/>
    <col min="12033" max="12033" width="60.6640625" style="1744" customWidth="1"/>
    <col min="12034" max="12034" width="24.33203125" style="1744" customWidth="1"/>
    <col min="12035" max="12038" width="17.6640625" style="1744" customWidth="1"/>
    <col min="12039" max="12044" width="0" style="1744" hidden="1" customWidth="1"/>
    <col min="12045" max="12288" width="9.109375" style="1744"/>
    <col min="12289" max="12289" width="60.6640625" style="1744" customWidth="1"/>
    <col min="12290" max="12290" width="24.33203125" style="1744" customWidth="1"/>
    <col min="12291" max="12294" width="17.6640625" style="1744" customWidth="1"/>
    <col min="12295" max="12300" width="0" style="1744" hidden="1" customWidth="1"/>
    <col min="12301" max="12544" width="9.109375" style="1744"/>
    <col min="12545" max="12545" width="60.6640625" style="1744" customWidth="1"/>
    <col min="12546" max="12546" width="24.33203125" style="1744" customWidth="1"/>
    <col min="12547" max="12550" width="17.6640625" style="1744" customWidth="1"/>
    <col min="12551" max="12556" width="0" style="1744" hidden="1" customWidth="1"/>
    <col min="12557" max="12800" width="9.109375" style="1744"/>
    <col min="12801" max="12801" width="60.6640625" style="1744" customWidth="1"/>
    <col min="12802" max="12802" width="24.33203125" style="1744" customWidth="1"/>
    <col min="12803" max="12806" width="17.6640625" style="1744" customWidth="1"/>
    <col min="12807" max="12812" width="0" style="1744" hidden="1" customWidth="1"/>
    <col min="12813" max="13056" width="9.109375" style="1744"/>
    <col min="13057" max="13057" width="60.6640625" style="1744" customWidth="1"/>
    <col min="13058" max="13058" width="24.33203125" style="1744" customWidth="1"/>
    <col min="13059" max="13062" width="17.6640625" style="1744" customWidth="1"/>
    <col min="13063" max="13068" width="0" style="1744" hidden="1" customWidth="1"/>
    <col min="13069" max="13312" width="9.109375" style="1744"/>
    <col min="13313" max="13313" width="60.6640625" style="1744" customWidth="1"/>
    <col min="13314" max="13314" width="24.33203125" style="1744" customWidth="1"/>
    <col min="13315" max="13318" width="17.6640625" style="1744" customWidth="1"/>
    <col min="13319" max="13324" width="0" style="1744" hidden="1" customWidth="1"/>
    <col min="13325" max="13568" width="9.109375" style="1744"/>
    <col min="13569" max="13569" width="60.6640625" style="1744" customWidth="1"/>
    <col min="13570" max="13570" width="24.33203125" style="1744" customWidth="1"/>
    <col min="13571" max="13574" width="17.6640625" style="1744" customWidth="1"/>
    <col min="13575" max="13580" width="0" style="1744" hidden="1" customWidth="1"/>
    <col min="13581" max="13824" width="9.109375" style="1744"/>
    <col min="13825" max="13825" width="60.6640625" style="1744" customWidth="1"/>
    <col min="13826" max="13826" width="24.33203125" style="1744" customWidth="1"/>
    <col min="13827" max="13830" width="17.6640625" style="1744" customWidth="1"/>
    <col min="13831" max="13836" width="0" style="1744" hidden="1" customWidth="1"/>
    <col min="13837" max="14080" width="9.109375" style="1744"/>
    <col min="14081" max="14081" width="60.6640625" style="1744" customWidth="1"/>
    <col min="14082" max="14082" width="24.33203125" style="1744" customWidth="1"/>
    <col min="14083" max="14086" width="17.6640625" style="1744" customWidth="1"/>
    <col min="14087" max="14092" width="0" style="1744" hidden="1" customWidth="1"/>
    <col min="14093" max="14336" width="9.109375" style="1744"/>
    <col min="14337" max="14337" width="60.6640625" style="1744" customWidth="1"/>
    <col min="14338" max="14338" width="24.33203125" style="1744" customWidth="1"/>
    <col min="14339" max="14342" width="17.6640625" style="1744" customWidth="1"/>
    <col min="14343" max="14348" width="0" style="1744" hidden="1" customWidth="1"/>
    <col min="14349" max="14592" width="9.109375" style="1744"/>
    <col min="14593" max="14593" width="60.6640625" style="1744" customWidth="1"/>
    <col min="14594" max="14594" width="24.33203125" style="1744" customWidth="1"/>
    <col min="14595" max="14598" width="17.6640625" style="1744" customWidth="1"/>
    <col min="14599" max="14604" width="0" style="1744" hidden="1" customWidth="1"/>
    <col min="14605" max="14848" width="9.109375" style="1744"/>
    <col min="14849" max="14849" width="60.6640625" style="1744" customWidth="1"/>
    <col min="14850" max="14850" width="24.33203125" style="1744" customWidth="1"/>
    <col min="14851" max="14854" width="17.6640625" style="1744" customWidth="1"/>
    <col min="14855" max="14860" width="0" style="1744" hidden="1" customWidth="1"/>
    <col min="14861" max="15104" width="9.109375" style="1744"/>
    <col min="15105" max="15105" width="60.6640625" style="1744" customWidth="1"/>
    <col min="15106" max="15106" width="24.33203125" style="1744" customWidth="1"/>
    <col min="15107" max="15110" width="17.6640625" style="1744" customWidth="1"/>
    <col min="15111" max="15116" width="0" style="1744" hidden="1" customWidth="1"/>
    <col min="15117" max="15360" width="9.109375" style="1744"/>
    <col min="15361" max="15361" width="60.6640625" style="1744" customWidth="1"/>
    <col min="15362" max="15362" width="24.33203125" style="1744" customWidth="1"/>
    <col min="15363" max="15366" width="17.6640625" style="1744" customWidth="1"/>
    <col min="15367" max="15372" width="0" style="1744" hidden="1" customWidth="1"/>
    <col min="15373" max="15616" width="9.109375" style="1744"/>
    <col min="15617" max="15617" width="60.6640625" style="1744" customWidth="1"/>
    <col min="15618" max="15618" width="24.33203125" style="1744" customWidth="1"/>
    <col min="15619" max="15622" width="17.6640625" style="1744" customWidth="1"/>
    <col min="15623" max="15628" width="0" style="1744" hidden="1" customWidth="1"/>
    <col min="15629" max="15872" width="9.109375" style="1744"/>
    <col min="15873" max="15873" width="60.6640625" style="1744" customWidth="1"/>
    <col min="15874" max="15874" width="24.33203125" style="1744" customWidth="1"/>
    <col min="15875" max="15878" width="17.6640625" style="1744" customWidth="1"/>
    <col min="15879" max="15884" width="0" style="1744" hidden="1" customWidth="1"/>
    <col min="15885" max="16128" width="9.109375" style="1744"/>
    <col min="16129" max="16129" width="60.6640625" style="1744" customWidth="1"/>
    <col min="16130" max="16130" width="24.33203125" style="1744" customWidth="1"/>
    <col min="16131" max="16134" width="17.6640625" style="1744" customWidth="1"/>
    <col min="16135" max="16140" width="0" style="1744" hidden="1" customWidth="1"/>
    <col min="16141" max="16384" width="9.109375" style="1744"/>
  </cols>
  <sheetData>
    <row r="1" spans="1:11" ht="23.25" customHeight="1">
      <c r="A1" s="2997" t="s">
        <v>1828</v>
      </c>
      <c r="B1" s="2997"/>
      <c r="C1" s="2997"/>
      <c r="D1" s="2997"/>
      <c r="E1" s="2997"/>
      <c r="F1" s="2997"/>
      <c r="G1" s="1743"/>
    </row>
    <row r="2" spans="1:11" ht="24" customHeight="1">
      <c r="A2" s="2998" t="str">
        <f>'[12]1тсо кроме мрск'!A2:F2</f>
        <v xml:space="preserve">АО "РКЦ "Прогресс" </v>
      </c>
      <c r="B2" s="2998"/>
      <c r="C2" s="2998"/>
      <c r="D2" s="2998"/>
      <c r="E2" s="2998"/>
      <c r="F2" s="2998"/>
      <c r="G2" s="1743"/>
    </row>
    <row r="3" spans="1:11" ht="16.5" customHeight="1">
      <c r="A3" s="2999" t="s">
        <v>458</v>
      </c>
      <c r="B3" s="2999"/>
      <c r="C3" s="2999"/>
      <c r="D3" s="2999"/>
      <c r="E3" s="2999"/>
      <c r="F3" s="2999"/>
      <c r="G3" s="1743"/>
    </row>
    <row r="4" spans="1:11" ht="9.75" customHeight="1" thickBot="1">
      <c r="A4" s="1745"/>
      <c r="B4" s="1745"/>
      <c r="C4" s="1745"/>
      <c r="D4" s="1745"/>
      <c r="E4" s="1745"/>
      <c r="F4" s="1745"/>
      <c r="G4" s="1743"/>
    </row>
    <row r="5" spans="1:11" ht="24" customHeight="1" thickBot="1">
      <c r="A5" s="3000" t="s">
        <v>459</v>
      </c>
      <c r="B5" s="3001" t="s">
        <v>279</v>
      </c>
      <c r="C5" s="3002" t="s">
        <v>461</v>
      </c>
      <c r="D5" s="3002"/>
      <c r="E5" s="3002"/>
      <c r="F5" s="3002"/>
      <c r="G5" s="1746"/>
    </row>
    <row r="6" spans="1:11" ht="33.75" customHeight="1" thickBot="1">
      <c r="A6" s="3000"/>
      <c r="B6" s="3001"/>
      <c r="C6" s="1747" t="s">
        <v>292</v>
      </c>
      <c r="D6" s="1747" t="s">
        <v>217</v>
      </c>
      <c r="E6" s="1747" t="s">
        <v>218</v>
      </c>
      <c r="F6" s="1748" t="s">
        <v>280</v>
      </c>
      <c r="G6" s="1746"/>
    </row>
    <row r="7" spans="1:11" ht="23.25" customHeight="1">
      <c r="A7" s="2982" t="s">
        <v>1501</v>
      </c>
      <c r="B7" s="2982"/>
      <c r="C7" s="2982"/>
      <c r="D7" s="2982"/>
      <c r="E7" s="2982"/>
      <c r="F7" s="2982"/>
      <c r="G7" s="1749"/>
      <c r="H7" s="1750"/>
    </row>
    <row r="8" spans="1:11" ht="16.5" customHeight="1" thickBot="1">
      <c r="A8" s="2983" t="s">
        <v>467</v>
      </c>
      <c r="B8" s="2983"/>
      <c r="C8" s="2983"/>
      <c r="D8" s="2983"/>
      <c r="E8" s="2983"/>
      <c r="F8" s="2983"/>
      <c r="G8" s="1749"/>
      <c r="H8" s="1750"/>
      <c r="J8" s="1744" t="s">
        <v>1502</v>
      </c>
    </row>
    <row r="9" spans="1:11" ht="24.75" customHeight="1">
      <c r="A9" s="1751" t="s">
        <v>933</v>
      </c>
      <c r="B9" s="1752">
        <f>SUM(C9:F9)</f>
        <v>4624</v>
      </c>
      <c r="C9" s="1753">
        <f>C20+C13</f>
        <v>1450</v>
      </c>
      <c r="D9" s="1754"/>
      <c r="E9" s="1753">
        <f>E20+E13</f>
        <v>2990</v>
      </c>
      <c r="F9" s="1755">
        <f>F20+F13</f>
        <v>184</v>
      </c>
      <c r="G9" s="1749"/>
      <c r="H9" s="1750"/>
      <c r="J9" s="1756">
        <v>3507.2</v>
      </c>
    </row>
    <row r="10" spans="1:11" ht="24.75" customHeight="1" thickBot="1">
      <c r="A10" s="1757" t="s">
        <v>464</v>
      </c>
      <c r="B10" s="2352">
        <f>SUM(C10:F10)</f>
        <v>1.8169</v>
      </c>
      <c r="C10" s="2353">
        <f>C14+C21</f>
        <v>0.39600000000000002</v>
      </c>
      <c r="D10" s="2354"/>
      <c r="E10" s="2353">
        <f>E14+E21</f>
        <v>1.3636999999999999</v>
      </c>
      <c r="F10" s="2355">
        <f>F14+F21</f>
        <v>5.7200000000000001E-2</v>
      </c>
      <c r="G10" s="1749"/>
      <c r="H10" s="1750"/>
    </row>
    <row r="11" spans="1:11" ht="20.25" customHeight="1">
      <c r="A11" s="2984" t="s">
        <v>934</v>
      </c>
      <c r="B11" s="2985"/>
      <c r="C11" s="2985"/>
      <c r="D11" s="2985"/>
      <c r="E11" s="2985"/>
      <c r="F11" s="2986"/>
      <c r="G11" s="1749"/>
      <c r="H11" s="1750"/>
    </row>
    <row r="12" spans="1:11" ht="18.75" customHeight="1" thickBot="1">
      <c r="A12" s="2987" t="s">
        <v>1503</v>
      </c>
      <c r="B12" s="2988"/>
      <c r="C12" s="2988"/>
      <c r="D12" s="2988"/>
      <c r="E12" s="2988"/>
      <c r="F12" s="2989"/>
      <c r="G12" s="1749"/>
      <c r="H12" s="1750"/>
      <c r="J12" s="1756" t="s">
        <v>1504</v>
      </c>
    </row>
    <row r="13" spans="1:11" ht="25.5" customHeight="1">
      <c r="A13" s="1759" t="s">
        <v>933</v>
      </c>
      <c r="B13" s="1760">
        <f>SUM(C13:F13)</f>
        <v>4277.5</v>
      </c>
      <c r="C13" s="2294">
        <f>2900/2</f>
        <v>1450</v>
      </c>
      <c r="D13" s="1923"/>
      <c r="E13" s="2294">
        <f>5600/2</f>
        <v>2800</v>
      </c>
      <c r="F13" s="2295">
        <f>55/2</f>
        <v>27.5</v>
      </c>
      <c r="G13" s="1763"/>
      <c r="H13" s="1750"/>
      <c r="J13" s="1756">
        <v>1583.49</v>
      </c>
    </row>
    <row r="14" spans="1:11" ht="25.5" customHeight="1" thickBot="1">
      <c r="A14" s="1764" t="s">
        <v>464</v>
      </c>
      <c r="B14" s="1758">
        <f>SUM(C14:F14)</f>
        <v>1.7101999999999999</v>
      </c>
      <c r="C14" s="2356">
        <v>0.39600000000000002</v>
      </c>
      <c r="D14" s="2357"/>
      <c r="E14" s="2356">
        <v>1.3051999999999999</v>
      </c>
      <c r="F14" s="2358">
        <f>0.009</f>
        <v>8.9999999999999993E-3</v>
      </c>
      <c r="G14" s="1767">
        <f>F13/F14</f>
        <v>3055.5555555555557</v>
      </c>
      <c r="H14" s="1750"/>
      <c r="J14" s="1768">
        <v>0.44500000000000001</v>
      </c>
      <c r="K14" s="1769">
        <f>J13/J14</f>
        <v>3558.4044943820222</v>
      </c>
    </row>
    <row r="15" spans="1:11" ht="20.25" customHeight="1">
      <c r="A15" s="2990" t="s">
        <v>934</v>
      </c>
      <c r="B15" s="2991"/>
      <c r="C15" s="2991"/>
      <c r="D15" s="2991"/>
      <c r="E15" s="2991"/>
      <c r="F15" s="2992"/>
      <c r="G15" s="1749"/>
      <c r="H15" s="1750"/>
    </row>
    <row r="16" spans="1:11" ht="24" customHeight="1" thickBot="1">
      <c r="A16" s="2993" t="s">
        <v>1505</v>
      </c>
      <c r="B16" s="2993"/>
      <c r="C16" s="2993"/>
      <c r="D16" s="2993"/>
      <c r="E16" s="2993"/>
      <c r="F16" s="2993"/>
      <c r="G16" s="1749"/>
      <c r="H16" s="1750"/>
      <c r="J16" s="1756" t="s">
        <v>1504</v>
      </c>
    </row>
    <row r="17" spans="1:11" ht="24" customHeight="1">
      <c r="A17" s="1759" t="s">
        <v>933</v>
      </c>
      <c r="B17" s="1770"/>
      <c r="C17" s="1771"/>
      <c r="D17" s="1771"/>
      <c r="E17" s="1772"/>
      <c r="F17" s="1773"/>
      <c r="G17" s="1763"/>
      <c r="H17" s="1750"/>
      <c r="J17" s="1756">
        <v>1583.49</v>
      </c>
    </row>
    <row r="18" spans="1:11" ht="24" customHeight="1" thickBot="1">
      <c r="A18" s="1764" t="s">
        <v>464</v>
      </c>
      <c r="B18" s="1774"/>
      <c r="C18" s="1775"/>
      <c r="D18" s="1775"/>
      <c r="E18" s="1776"/>
      <c r="F18" s="1777"/>
      <c r="G18" s="1767" t="e">
        <f>F17/F18</f>
        <v>#DIV/0!</v>
      </c>
      <c r="H18" s="1750"/>
      <c r="J18" s="1768">
        <v>0.44500000000000001</v>
      </c>
      <c r="K18" s="1769">
        <f>J17/J18</f>
        <v>3558.4044943820222</v>
      </c>
    </row>
    <row r="19" spans="1:11" ht="22.5" customHeight="1" thickBot="1">
      <c r="A19" s="2983" t="s">
        <v>1506</v>
      </c>
      <c r="B19" s="2983"/>
      <c r="C19" s="2983"/>
      <c r="D19" s="2983"/>
      <c r="E19" s="2983"/>
      <c r="F19" s="2983"/>
      <c r="G19" s="1778">
        <f>F24+F40</f>
        <v>139.52500000000001</v>
      </c>
      <c r="H19" s="1779" t="s">
        <v>1507</v>
      </c>
      <c r="I19" s="1756"/>
      <c r="J19" s="1756">
        <f>J20+J40</f>
        <v>1183.21</v>
      </c>
    </row>
    <row r="20" spans="1:11" ht="22.5" customHeight="1">
      <c r="A20" s="1751" t="s">
        <v>933</v>
      </c>
      <c r="B20" s="1760">
        <f>SUM(C20:F20)</f>
        <v>346.5</v>
      </c>
      <c r="C20" s="1760"/>
      <c r="D20" s="1760"/>
      <c r="E20" s="1760">
        <f>E24+E27</f>
        <v>190</v>
      </c>
      <c r="F20" s="1780">
        <f>F24+F27</f>
        <v>156.5</v>
      </c>
      <c r="G20" s="1750"/>
      <c r="H20" s="1750"/>
      <c r="J20" s="1744">
        <v>1183.21</v>
      </c>
    </row>
    <row r="21" spans="1:11" ht="22.5" customHeight="1" thickBot="1">
      <c r="A21" s="1764" t="s">
        <v>464</v>
      </c>
      <c r="B21" s="2352">
        <f>SUM(C21:F21)</f>
        <v>0.1067</v>
      </c>
      <c r="C21" s="2352"/>
      <c r="D21" s="2352"/>
      <c r="E21" s="2352">
        <f>E25+E28</f>
        <v>5.8500000000000003E-2</v>
      </c>
      <c r="F21" s="2359">
        <f>F25+F28</f>
        <v>4.82E-2</v>
      </c>
      <c r="G21" s="1767">
        <f>F20/F21</f>
        <v>3246.8879668049794</v>
      </c>
      <c r="H21" s="1750"/>
      <c r="J21" s="1744">
        <v>0.34200000000000003</v>
      </c>
      <c r="K21" s="1769">
        <f>J20/J21</f>
        <v>3459.6783625730991</v>
      </c>
    </row>
    <row r="22" spans="1:11" ht="20.25" customHeight="1">
      <c r="A22" s="2980" t="s">
        <v>934</v>
      </c>
      <c r="B22" s="2980"/>
      <c r="C22" s="2980"/>
      <c r="D22" s="2980"/>
      <c r="E22" s="2980"/>
      <c r="F22" s="2980"/>
      <c r="G22" s="1750"/>
      <c r="H22" s="1750"/>
    </row>
    <row r="23" spans="1:11" ht="21.75" customHeight="1" thickBot="1">
      <c r="A23" s="2977" t="s">
        <v>1508</v>
      </c>
      <c r="B23" s="2977"/>
      <c r="C23" s="2977"/>
      <c r="D23" s="2977"/>
      <c r="E23" s="2977"/>
      <c r="F23" s="2977"/>
      <c r="G23" s="1750"/>
      <c r="H23" s="1750"/>
    </row>
    <row r="24" spans="1:11" ht="22.5" customHeight="1">
      <c r="A24" s="1751" t="s">
        <v>933</v>
      </c>
      <c r="B24" s="1760">
        <f>SUM(C24:F24)</f>
        <v>294.52499999999998</v>
      </c>
      <c r="C24" s="1760"/>
      <c r="D24" s="1760"/>
      <c r="E24" s="1760">
        <f>E34+E44+E54</f>
        <v>161.5</v>
      </c>
      <c r="F24" s="1780">
        <f>F34+F44+F54</f>
        <v>133.02500000000001</v>
      </c>
      <c r="G24" s="1750"/>
      <c r="H24" s="1750"/>
    </row>
    <row r="25" spans="1:11" ht="22.5" customHeight="1" thickBot="1">
      <c r="A25" s="1764" t="s">
        <v>464</v>
      </c>
      <c r="B25" s="2352">
        <f>SUM(C25:F25)</f>
        <v>9.0700000000000003E-2</v>
      </c>
      <c r="C25" s="2352"/>
      <c r="D25" s="2352"/>
      <c r="E25" s="2352">
        <f>E35+E45+E55</f>
        <v>4.9700000000000001E-2</v>
      </c>
      <c r="F25" s="2359">
        <f>F35+F45+F55</f>
        <v>4.1000000000000002E-2</v>
      </c>
      <c r="G25" s="1750"/>
      <c r="H25" s="1750"/>
    </row>
    <row r="26" spans="1:11" ht="24.75" customHeight="1" thickBot="1">
      <c r="A26" s="2978" t="s">
        <v>1509</v>
      </c>
      <c r="B26" s="2978"/>
      <c r="C26" s="2978"/>
      <c r="D26" s="2978"/>
      <c r="E26" s="2978"/>
      <c r="F26" s="2978"/>
      <c r="G26" s="1750"/>
      <c r="H26" s="1750"/>
    </row>
    <row r="27" spans="1:11" ht="24.75" customHeight="1">
      <c r="A27" s="1751" t="s">
        <v>933</v>
      </c>
      <c r="B27" s="1752">
        <f>SUM(C27:F27)</f>
        <v>51.975000000000001</v>
      </c>
      <c r="C27" s="1782"/>
      <c r="D27" s="1782"/>
      <c r="E27" s="1752">
        <f>E37+E47+E57</f>
        <v>28.5</v>
      </c>
      <c r="F27" s="1780">
        <f>F37+F47+F57</f>
        <v>23.475000000000001</v>
      </c>
      <c r="G27" s="1750"/>
      <c r="H27" s="1750"/>
    </row>
    <row r="28" spans="1:11" ht="24.75" customHeight="1" thickBot="1">
      <c r="A28" s="1764" t="s">
        <v>464</v>
      </c>
      <c r="B28" s="2352">
        <f>SUM(C28:F28)</f>
        <v>1.6E-2</v>
      </c>
      <c r="C28" s="2360"/>
      <c r="D28" s="2360"/>
      <c r="E28" s="2352">
        <f>E38+E48+E58</f>
        <v>8.8000000000000005E-3</v>
      </c>
      <c r="F28" s="2359">
        <f>F38+F48+F58</f>
        <v>7.1999999999999998E-3</v>
      </c>
      <c r="G28" s="1750"/>
      <c r="H28" s="1750"/>
    </row>
    <row r="29" spans="1:11" ht="39.75" customHeight="1" thickBot="1">
      <c r="A29" s="2994" t="s">
        <v>1510</v>
      </c>
      <c r="B29" s="2995"/>
      <c r="C29" s="2995"/>
      <c r="D29" s="2995"/>
      <c r="E29" s="2995"/>
      <c r="F29" s="2996"/>
      <c r="G29" s="1778">
        <f>F34+F50</f>
        <v>150</v>
      </c>
      <c r="H29" s="1779" t="s">
        <v>1507</v>
      </c>
      <c r="I29" s="1756"/>
      <c r="J29" s="1756">
        <f>J30+J50</f>
        <v>1923.71</v>
      </c>
    </row>
    <row r="30" spans="1:11" ht="25.5" customHeight="1">
      <c r="A30" s="1751" t="s">
        <v>933</v>
      </c>
      <c r="B30" s="1786"/>
      <c r="C30" s="1782"/>
      <c r="D30" s="1782"/>
      <c r="E30" s="1799"/>
      <c r="F30" s="1800"/>
      <c r="G30" s="1750"/>
      <c r="H30" s="1750"/>
      <c r="J30" s="1744">
        <v>1183.21</v>
      </c>
    </row>
    <row r="31" spans="1:11" ht="25.5" customHeight="1" thickBot="1">
      <c r="A31" s="1764" t="s">
        <v>464</v>
      </c>
      <c r="B31" s="1787"/>
      <c r="C31" s="1775"/>
      <c r="D31" s="1775"/>
      <c r="E31" s="1801"/>
      <c r="F31" s="1802"/>
      <c r="G31" s="1767" t="e">
        <f>F30/F31</f>
        <v>#DIV/0!</v>
      </c>
      <c r="H31" s="1750"/>
      <c r="J31" s="1744">
        <v>0.34200000000000003</v>
      </c>
      <c r="K31" s="1769">
        <f>J30/J31</f>
        <v>3459.6783625730991</v>
      </c>
    </row>
    <row r="32" spans="1:11" ht="19.5" customHeight="1">
      <c r="A32" s="2980" t="s">
        <v>934</v>
      </c>
      <c r="B32" s="2980"/>
      <c r="C32" s="2980"/>
      <c r="D32" s="2980"/>
      <c r="E32" s="2980"/>
      <c r="F32" s="2980"/>
      <c r="G32" s="1750"/>
      <c r="H32" s="1750"/>
    </row>
    <row r="33" spans="1:8" ht="25.5" customHeight="1" thickBot="1">
      <c r="A33" s="2977" t="s">
        <v>1511</v>
      </c>
      <c r="B33" s="2977"/>
      <c r="C33" s="2977"/>
      <c r="D33" s="2977"/>
      <c r="E33" s="2977"/>
      <c r="F33" s="2977"/>
      <c r="G33" s="1750"/>
      <c r="H33" s="1750"/>
    </row>
    <row r="34" spans="1:8" ht="22.5" customHeight="1">
      <c r="A34" s="1751" t="s">
        <v>933</v>
      </c>
      <c r="B34" s="1786"/>
      <c r="C34" s="1782"/>
      <c r="D34" s="1782"/>
      <c r="E34" s="1783"/>
      <c r="F34" s="1784"/>
      <c r="G34" s="1750"/>
      <c r="H34" s="1750"/>
    </row>
    <row r="35" spans="1:8" ht="22.5" customHeight="1" thickBot="1">
      <c r="A35" s="1764" t="s">
        <v>464</v>
      </c>
      <c r="B35" s="1787"/>
      <c r="C35" s="1775"/>
      <c r="D35" s="1775"/>
      <c r="E35" s="1776"/>
      <c r="F35" s="1788"/>
      <c r="G35" s="1750"/>
      <c r="H35" s="1750"/>
    </row>
    <row r="36" spans="1:8" ht="22.5" customHeight="1" thickBot="1">
      <c r="A36" s="2978" t="s">
        <v>1512</v>
      </c>
      <c r="B36" s="2978"/>
      <c r="C36" s="2978"/>
      <c r="D36" s="2978"/>
      <c r="E36" s="2978"/>
      <c r="F36" s="2978"/>
      <c r="G36" s="1750"/>
      <c r="H36" s="1750"/>
    </row>
    <row r="37" spans="1:8" ht="22.5" customHeight="1">
      <c r="A37" s="1751" t="s">
        <v>933</v>
      </c>
      <c r="B37" s="1786"/>
      <c r="C37" s="1782"/>
      <c r="D37" s="1782"/>
      <c r="E37" s="1783"/>
      <c r="F37" s="1789"/>
      <c r="G37" s="1750"/>
      <c r="H37" s="1750"/>
    </row>
    <row r="38" spans="1:8" ht="22.5" customHeight="1" thickBot="1">
      <c r="A38" s="1764" t="s">
        <v>464</v>
      </c>
      <c r="B38" s="1787"/>
      <c r="C38" s="1775"/>
      <c r="D38" s="1775"/>
      <c r="E38" s="1776"/>
      <c r="F38" s="1788"/>
      <c r="G38" s="1750"/>
      <c r="H38" s="1750"/>
    </row>
    <row r="39" spans="1:8" ht="27" customHeight="1" thickBot="1">
      <c r="A39" s="2979" t="s">
        <v>1513</v>
      </c>
      <c r="B39" s="2979"/>
      <c r="C39" s="2979"/>
      <c r="D39" s="2979"/>
      <c r="E39" s="2979"/>
      <c r="F39" s="2979"/>
      <c r="G39" s="1750"/>
      <c r="H39" s="1750"/>
    </row>
    <row r="40" spans="1:8" ht="27" customHeight="1">
      <c r="A40" s="1751" t="s">
        <v>933</v>
      </c>
      <c r="B40" s="1797">
        <f>SUM(C40:F40)</f>
        <v>6.5</v>
      </c>
      <c r="C40" s="1791"/>
      <c r="D40" s="1791"/>
      <c r="E40" s="1799"/>
      <c r="F40" s="2087">
        <f>F44+F47</f>
        <v>6.5</v>
      </c>
      <c r="G40" s="1750"/>
      <c r="H40" s="1750"/>
    </row>
    <row r="41" spans="1:8" ht="27" customHeight="1" thickBot="1">
      <c r="A41" s="1764" t="s">
        <v>464</v>
      </c>
      <c r="B41" s="2361">
        <f>SUM(C41:F41)</f>
        <v>2E-3</v>
      </c>
      <c r="C41" s="2362"/>
      <c r="D41" s="2362"/>
      <c r="E41" s="2363"/>
      <c r="F41" s="1788">
        <f>F45+F48</f>
        <v>2E-3</v>
      </c>
      <c r="G41" s="1750"/>
      <c r="H41" s="1750"/>
    </row>
    <row r="42" spans="1:8" ht="20.25" customHeight="1">
      <c r="A42" s="2980" t="s">
        <v>934</v>
      </c>
      <c r="B42" s="2980"/>
      <c r="C42" s="2980"/>
      <c r="D42" s="2980"/>
      <c r="E42" s="2980"/>
      <c r="F42" s="2980"/>
      <c r="G42" s="1750"/>
      <c r="H42" s="1750"/>
    </row>
    <row r="43" spans="1:8" ht="20.25" customHeight="1" thickBot="1">
      <c r="A43" s="2977" t="s">
        <v>1514</v>
      </c>
      <c r="B43" s="2977"/>
      <c r="C43" s="2977"/>
      <c r="D43" s="2977"/>
      <c r="E43" s="2977"/>
      <c r="F43" s="2977"/>
      <c r="G43" s="1750"/>
      <c r="H43" s="1750"/>
    </row>
    <row r="44" spans="1:8" ht="21.75" customHeight="1">
      <c r="A44" s="1751" t="s">
        <v>933</v>
      </c>
      <c r="B44" s="1797">
        <f>SUM(C44:F44)</f>
        <v>5.5250000000000004</v>
      </c>
      <c r="C44" s="1791"/>
      <c r="D44" s="1791"/>
      <c r="E44" s="1791"/>
      <c r="F44" s="2364">
        <f>11.05/2</f>
        <v>5.5250000000000004</v>
      </c>
      <c r="G44" s="1750"/>
      <c r="H44" s="1750"/>
    </row>
    <row r="45" spans="1:8" ht="21.75" customHeight="1" thickBot="1">
      <c r="A45" s="1764" t="s">
        <v>464</v>
      </c>
      <c r="B45" s="2361">
        <f>SUM(C45:F45)</f>
        <v>1.6999999999999999E-3</v>
      </c>
      <c r="C45" s="2362"/>
      <c r="D45" s="2362"/>
      <c r="E45" s="2362"/>
      <c r="F45" s="2365">
        <v>1.6999999999999999E-3</v>
      </c>
      <c r="G45" s="1750"/>
      <c r="H45" s="1750"/>
    </row>
    <row r="46" spans="1:8" ht="25.5" customHeight="1" thickBot="1">
      <c r="A46" s="2978" t="s">
        <v>1515</v>
      </c>
      <c r="B46" s="2978"/>
      <c r="C46" s="2978"/>
      <c r="D46" s="2978"/>
      <c r="E46" s="2978"/>
      <c r="F46" s="2978"/>
      <c r="G46" s="1750"/>
      <c r="H46" s="1750"/>
    </row>
    <row r="47" spans="1:8" ht="22.5" customHeight="1">
      <c r="A47" s="1751" t="s">
        <v>933</v>
      </c>
      <c r="B47" s="1797">
        <f>SUM(C47:F47)</f>
        <v>0.97499999999999998</v>
      </c>
      <c r="C47" s="1791"/>
      <c r="D47" s="1791"/>
      <c r="E47" s="1791"/>
      <c r="F47" s="2364">
        <f>1.95/2</f>
        <v>0.97499999999999998</v>
      </c>
      <c r="G47" s="1750"/>
      <c r="H47" s="1750"/>
    </row>
    <row r="48" spans="1:8" ht="22.5" customHeight="1" thickBot="1">
      <c r="A48" s="1764" t="s">
        <v>464</v>
      </c>
      <c r="B48" s="2361">
        <f>SUM(C48:F48)</f>
        <v>2.9999999999999997E-4</v>
      </c>
      <c r="C48" s="2362"/>
      <c r="D48" s="2362"/>
      <c r="E48" s="2362"/>
      <c r="F48" s="2365">
        <v>2.9999999999999997E-4</v>
      </c>
      <c r="G48" s="1750"/>
      <c r="H48" s="1750"/>
    </row>
    <row r="49" spans="1:14" ht="21" customHeight="1" thickBot="1">
      <c r="A49" s="2979" t="s">
        <v>1516</v>
      </c>
      <c r="B49" s="2979"/>
      <c r="C49" s="2979"/>
      <c r="D49" s="2979"/>
      <c r="E49" s="2979"/>
      <c r="F49" s="2979"/>
      <c r="G49" s="1750"/>
      <c r="H49" s="1750"/>
      <c r="N49" s="1744" t="s">
        <v>1653</v>
      </c>
    </row>
    <row r="50" spans="1:14" ht="21" customHeight="1">
      <c r="A50" s="1751" t="s">
        <v>933</v>
      </c>
      <c r="B50" s="1797">
        <f>SUM(C50:F50)</f>
        <v>340</v>
      </c>
      <c r="C50" s="1798"/>
      <c r="D50" s="1798"/>
      <c r="E50" s="1799">
        <f>E54+E57</f>
        <v>190</v>
      </c>
      <c r="F50" s="1800">
        <f>F54+F57</f>
        <v>150</v>
      </c>
      <c r="G50" s="1750"/>
      <c r="H50" s="1750"/>
      <c r="J50" s="1744">
        <v>740.5</v>
      </c>
    </row>
    <row r="51" spans="1:14" ht="21" customHeight="1" thickBot="1">
      <c r="A51" s="1764" t="s">
        <v>464</v>
      </c>
      <c r="B51" s="2361">
        <f>SUM(C51:F51)</f>
        <v>0.10470000000000002</v>
      </c>
      <c r="C51" s="2362"/>
      <c r="D51" s="2362"/>
      <c r="E51" s="2363">
        <f>E55+E58</f>
        <v>5.8500000000000003E-2</v>
      </c>
      <c r="F51" s="2366">
        <f>F55+F58</f>
        <v>4.6200000000000005E-2</v>
      </c>
      <c r="G51" s="1767">
        <f>F50/F51</f>
        <v>3246.7532467532465</v>
      </c>
      <c r="H51" s="1750"/>
      <c r="J51" s="1768">
        <v>0.23300000000000001</v>
      </c>
      <c r="K51" s="1769">
        <f>J50/J51</f>
        <v>3178.1115879828326</v>
      </c>
    </row>
    <row r="52" spans="1:14" ht="15.75" customHeight="1">
      <c r="A52" s="2980" t="s">
        <v>934</v>
      </c>
      <c r="B52" s="2980"/>
      <c r="C52" s="2980"/>
      <c r="D52" s="2980"/>
      <c r="E52" s="2980"/>
      <c r="F52" s="2980"/>
      <c r="G52" s="1750"/>
      <c r="H52" s="1750"/>
    </row>
    <row r="53" spans="1:14" ht="23.25" customHeight="1" thickBot="1">
      <c r="A53" s="2977" t="s">
        <v>1517</v>
      </c>
      <c r="B53" s="2977"/>
      <c r="C53" s="2977"/>
      <c r="D53" s="2977"/>
      <c r="E53" s="2977"/>
      <c r="F53" s="2977"/>
      <c r="G53" s="1750"/>
      <c r="H53" s="1750"/>
    </row>
    <row r="54" spans="1:14" ht="23.25" customHeight="1">
      <c r="A54" s="1751" t="s">
        <v>933</v>
      </c>
      <c r="B54" s="1803">
        <f>SUM(C54:F54)</f>
        <v>289</v>
      </c>
      <c r="C54" s="1754"/>
      <c r="D54" s="1754"/>
      <c r="E54" s="1924">
        <f>323/2</f>
        <v>161.5</v>
      </c>
      <c r="F54" s="2296">
        <f>255/2</f>
        <v>127.5</v>
      </c>
      <c r="G54" s="1750"/>
      <c r="H54" s="1750"/>
    </row>
    <row r="55" spans="1:14" ht="23.25" customHeight="1" thickBot="1">
      <c r="A55" s="1764" t="s">
        <v>464</v>
      </c>
      <c r="B55" s="2361">
        <f>SUM(C55:F55)</f>
        <v>8.8999999999999996E-2</v>
      </c>
      <c r="C55" s="2360"/>
      <c r="D55" s="2360"/>
      <c r="E55" s="2367">
        <v>4.9700000000000001E-2</v>
      </c>
      <c r="F55" s="2368">
        <v>3.9300000000000002E-2</v>
      </c>
      <c r="G55" s="1750"/>
      <c r="H55" s="1750"/>
    </row>
    <row r="56" spans="1:14" ht="19.5" customHeight="1" thickBot="1">
      <c r="A56" s="2978" t="s">
        <v>1518</v>
      </c>
      <c r="B56" s="2978"/>
      <c r="C56" s="2978"/>
      <c r="D56" s="2978"/>
      <c r="E56" s="2978"/>
      <c r="F56" s="2978"/>
      <c r="G56" s="1750"/>
      <c r="H56" s="1750"/>
    </row>
    <row r="57" spans="1:14" ht="19.5" customHeight="1">
      <c r="A57" s="1751" t="s">
        <v>933</v>
      </c>
      <c r="B57" s="1803">
        <f>SUM(C57:F57)</f>
        <v>51</v>
      </c>
      <c r="C57" s="1782"/>
      <c r="D57" s="1782"/>
      <c r="E57" s="1924">
        <f>57/2</f>
        <v>28.5</v>
      </c>
      <c r="F57" s="2296">
        <f>45/2</f>
        <v>22.5</v>
      </c>
      <c r="G57" s="1750"/>
      <c r="H57" s="1750"/>
    </row>
    <row r="58" spans="1:14" ht="19.5" customHeight="1" thickBot="1">
      <c r="A58" s="1764" t="s">
        <v>464</v>
      </c>
      <c r="B58" s="2361">
        <f>SUM(C58:F58)</f>
        <v>1.5699999999999999E-2</v>
      </c>
      <c r="C58" s="2360"/>
      <c r="D58" s="2360"/>
      <c r="E58" s="2367">
        <v>8.8000000000000005E-3</v>
      </c>
      <c r="F58" s="2368">
        <v>6.8999999999999999E-3</v>
      </c>
    </row>
    <row r="59" spans="1:14" ht="27.75" customHeight="1" thickBot="1">
      <c r="A59" s="2981" t="s">
        <v>1519</v>
      </c>
      <c r="B59" s="2981"/>
      <c r="C59" s="2981"/>
      <c r="D59" s="2981"/>
      <c r="E59" s="2981"/>
      <c r="F59" s="2981"/>
      <c r="G59" s="1805" t="s">
        <v>1520</v>
      </c>
    </row>
    <row r="60" spans="1:14" ht="26.25" customHeight="1">
      <c r="A60" s="1806" t="s">
        <v>933</v>
      </c>
      <c r="B60" s="1752">
        <f>SUM(C60:F60)</f>
        <v>75378.010499999989</v>
      </c>
      <c r="C60" s="1761">
        <f>150484.197/2</f>
        <v>75242.098499999993</v>
      </c>
      <c r="D60" s="1761"/>
      <c r="E60" s="1761"/>
      <c r="F60" s="1762">
        <f>271.824/2</f>
        <v>135.91200000000001</v>
      </c>
      <c r="G60" s="1805" t="s">
        <v>1521</v>
      </c>
    </row>
    <row r="61" spans="1:14" ht="26.25" customHeight="1" thickBot="1">
      <c r="A61" s="1807" t="s">
        <v>464</v>
      </c>
      <c r="B61" s="2352">
        <f>SUM(C61:F61)</f>
        <v>32.386130000000001</v>
      </c>
      <c r="C61" s="2357">
        <v>32</v>
      </c>
      <c r="D61" s="2357"/>
      <c r="E61" s="2357"/>
      <c r="F61" s="2369">
        <v>0.38612999999999997</v>
      </c>
    </row>
    <row r="62" spans="1:14" ht="24" customHeight="1">
      <c r="A62" s="1808"/>
      <c r="B62" s="1809"/>
      <c r="C62" s="1749"/>
      <c r="D62" s="1749"/>
      <c r="E62" s="2344"/>
      <c r="F62" s="2344"/>
    </row>
    <row r="63" spans="1:14" ht="17.25" customHeight="1">
      <c r="A63" s="3003" t="str">
        <f>'[12]1тсо кроме мрск'!A63:F63</f>
        <v>Примечание: * -  действующий договор оказания услуг по передаче электрической энергии № 3 от 01.01.2011г.;</v>
      </c>
      <c r="B63" s="3003"/>
      <c r="C63" s="3003"/>
      <c r="D63" s="3003"/>
      <c r="E63" s="3003"/>
      <c r="F63" s="3003"/>
    </row>
    <row r="64" spans="1:14" ht="17.25" customHeight="1">
      <c r="A64" s="3003" t="str">
        <f>'[12]1тсо кроме мрск'!A64:F64</f>
        <v xml:space="preserve">                        ** -   действующие договора энергоснабжения № 20-1001э от 01.01.2013г. , № 20-1001к от 01.01.2013г..</v>
      </c>
      <c r="B64" s="3003"/>
      <c r="C64" s="3003"/>
      <c r="D64" s="3003"/>
      <c r="E64" s="3003"/>
      <c r="F64" s="3003"/>
    </row>
    <row r="65" spans="1:6" ht="23.25" customHeight="1">
      <c r="A65" s="2973" t="s">
        <v>1524</v>
      </c>
      <c r="B65" s="2973"/>
      <c r="D65" s="3004" t="str">
        <f>'[12]1тсо кроме мрск'!D65:F70</f>
        <v>Руководитель сетевой организации АО "РКЦ "Прогресс"</v>
      </c>
      <c r="E65" s="3004"/>
      <c r="F65" s="3004"/>
    </row>
    <row r="66" spans="1:6" hidden="1">
      <c r="A66" s="2973"/>
      <c r="B66" s="2973"/>
      <c r="D66" s="3004"/>
      <c r="E66" s="3004"/>
      <c r="F66" s="3004"/>
    </row>
    <row r="67" spans="1:6" hidden="1">
      <c r="A67" s="2973"/>
      <c r="B67" s="2973"/>
      <c r="D67" s="3004"/>
      <c r="E67" s="3004"/>
      <c r="F67" s="3004"/>
    </row>
    <row r="68" spans="1:6" hidden="1">
      <c r="A68" s="2973"/>
      <c r="B68" s="2973"/>
      <c r="D68" s="3004"/>
      <c r="E68" s="3004"/>
      <c r="F68" s="3004"/>
    </row>
    <row r="69" spans="1:6" hidden="1">
      <c r="A69" s="2973"/>
      <c r="B69" s="2973"/>
      <c r="D69" s="3004"/>
      <c r="E69" s="3004"/>
      <c r="F69" s="3004"/>
    </row>
    <row r="70" spans="1:6" s="1810" customFormat="1" ht="13.8">
      <c r="A70" s="2973"/>
      <c r="B70" s="2973"/>
      <c r="D70" s="3004"/>
      <c r="E70" s="3004"/>
      <c r="F70" s="3004"/>
    </row>
    <row r="71" spans="1:6" s="1810" customFormat="1" ht="32.25" customHeight="1">
      <c r="A71" s="2975" t="s">
        <v>1525</v>
      </c>
      <c r="B71" s="2975"/>
      <c r="D71" s="2976" t="s">
        <v>733</v>
      </c>
      <c r="E71" s="2976"/>
      <c r="F71" s="2976"/>
    </row>
    <row r="72" spans="1:6" s="1810" customFormat="1" ht="13.8">
      <c r="A72" s="2975" t="s">
        <v>1526</v>
      </c>
      <c r="B72" s="2975"/>
      <c r="D72" s="2975" t="s">
        <v>1526</v>
      </c>
      <c r="E72" s="2975"/>
      <c r="F72" s="2975"/>
    </row>
    <row r="73" spans="1:6" s="1810" customFormat="1" ht="13.8">
      <c r="A73" s="2970" t="s">
        <v>944</v>
      </c>
      <c r="B73" s="2970"/>
      <c r="D73" s="2970" t="s">
        <v>944</v>
      </c>
      <c r="E73" s="2970"/>
      <c r="F73" s="2970"/>
    </row>
    <row r="75" spans="1:6" hidden="1"/>
    <row r="76" spans="1:6" hidden="1"/>
    <row r="77" spans="1:6" s="1811" customFormat="1" ht="21" customHeight="1">
      <c r="A77" s="2971" t="s">
        <v>1527</v>
      </c>
      <c r="B77" s="2971"/>
    </row>
    <row r="78" spans="1:6" hidden="1">
      <c r="D78" s="1812"/>
    </row>
  </sheetData>
  <sheetProtection selectLockedCells="1" selectUnlockedCells="1"/>
  <mergeCells count="40">
    <mergeCell ref="A1:F1"/>
    <mergeCell ref="A2:F2"/>
    <mergeCell ref="A3:F3"/>
    <mergeCell ref="A5:A6"/>
    <mergeCell ref="B5:B6"/>
    <mergeCell ref="C5:F5"/>
    <mergeCell ref="A32:F32"/>
    <mergeCell ref="A7:F7"/>
    <mergeCell ref="A8:F8"/>
    <mergeCell ref="A11:F11"/>
    <mergeCell ref="A12:F12"/>
    <mergeCell ref="A15:F15"/>
    <mergeCell ref="A16:F16"/>
    <mergeCell ref="A19:F19"/>
    <mergeCell ref="A22:F22"/>
    <mergeCell ref="A23:F23"/>
    <mergeCell ref="A26:F26"/>
    <mergeCell ref="A29:F29"/>
    <mergeCell ref="A63:F63"/>
    <mergeCell ref="A33:F33"/>
    <mergeCell ref="A36:F36"/>
    <mergeCell ref="A39:F39"/>
    <mergeCell ref="A42:F42"/>
    <mergeCell ref="A43:F43"/>
    <mergeCell ref="A46:F46"/>
    <mergeCell ref="A49:F49"/>
    <mergeCell ref="A52:F52"/>
    <mergeCell ref="A53:F53"/>
    <mergeCell ref="A56:F56"/>
    <mergeCell ref="A59:F59"/>
    <mergeCell ref="A73:B73"/>
    <mergeCell ref="D73:F73"/>
    <mergeCell ref="A77:B77"/>
    <mergeCell ref="A64:F64"/>
    <mergeCell ref="A65:B70"/>
    <mergeCell ref="D65:F70"/>
    <mergeCell ref="A71:B71"/>
    <mergeCell ref="D71:F71"/>
    <mergeCell ref="A72:B72"/>
    <mergeCell ref="D72:F72"/>
  </mergeCells>
  <printOptions horizontalCentered="1"/>
  <pageMargins left="0.78740157480314965" right="0.19685039370078741" top="0.59055118110236227" bottom="0.19685039370078741" header="0.51181102362204722" footer="0.51181102362204722"/>
  <pageSetup paperSize="9" scale="51" firstPageNumber="0" orientation="portrait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/>
  <dimension ref="A1"/>
  <sheetViews>
    <sheetView workbookViewId="0">
      <selection sqref="A1:XFD1048576"/>
    </sheetView>
  </sheetViews>
  <sheetFormatPr defaultRowHeight="13.2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theme="9" tint="0.59999389629810485"/>
  </sheetPr>
  <dimension ref="A1:V78"/>
  <sheetViews>
    <sheetView zoomScale="85" zoomScaleNormal="85" zoomScaleSheetLayoutView="75" workbookViewId="0">
      <pane ySplit="6" topLeftCell="A46" activePane="bottomLeft" state="frozen"/>
      <selection sqref="A1:XFD1048576"/>
      <selection pane="bottomLeft" sqref="A1:XFD1048576"/>
    </sheetView>
  </sheetViews>
  <sheetFormatPr defaultRowHeight="13.2"/>
  <cols>
    <col min="1" max="1" width="60.6640625" style="1744" customWidth="1"/>
    <col min="2" max="2" width="24.33203125" style="1744" customWidth="1"/>
    <col min="3" max="6" width="17.6640625" style="1744" customWidth="1"/>
    <col min="7" max="14" width="0" style="1744" hidden="1" customWidth="1"/>
    <col min="15" max="15" width="8.109375" style="1744" hidden="1" customWidth="1"/>
    <col min="16" max="18" width="0" style="1744" hidden="1" customWidth="1"/>
    <col min="19" max="256" width="9.109375" style="1744"/>
    <col min="257" max="257" width="60.6640625" style="1744" customWidth="1"/>
    <col min="258" max="258" width="24.33203125" style="1744" customWidth="1"/>
    <col min="259" max="262" width="17.6640625" style="1744" customWidth="1"/>
    <col min="263" max="274" width="0" style="1744" hidden="1" customWidth="1"/>
    <col min="275" max="512" width="9.109375" style="1744"/>
    <col min="513" max="513" width="60.6640625" style="1744" customWidth="1"/>
    <col min="514" max="514" width="24.33203125" style="1744" customWidth="1"/>
    <col min="515" max="518" width="17.6640625" style="1744" customWidth="1"/>
    <col min="519" max="530" width="0" style="1744" hidden="1" customWidth="1"/>
    <col min="531" max="768" width="9.109375" style="1744"/>
    <col min="769" max="769" width="60.6640625" style="1744" customWidth="1"/>
    <col min="770" max="770" width="24.33203125" style="1744" customWidth="1"/>
    <col min="771" max="774" width="17.6640625" style="1744" customWidth="1"/>
    <col min="775" max="786" width="0" style="1744" hidden="1" customWidth="1"/>
    <col min="787" max="1024" width="9.109375" style="1744"/>
    <col min="1025" max="1025" width="60.6640625" style="1744" customWidth="1"/>
    <col min="1026" max="1026" width="24.33203125" style="1744" customWidth="1"/>
    <col min="1027" max="1030" width="17.6640625" style="1744" customWidth="1"/>
    <col min="1031" max="1042" width="0" style="1744" hidden="1" customWidth="1"/>
    <col min="1043" max="1280" width="9.109375" style="1744"/>
    <col min="1281" max="1281" width="60.6640625" style="1744" customWidth="1"/>
    <col min="1282" max="1282" width="24.33203125" style="1744" customWidth="1"/>
    <col min="1283" max="1286" width="17.6640625" style="1744" customWidth="1"/>
    <col min="1287" max="1298" width="0" style="1744" hidden="1" customWidth="1"/>
    <col min="1299" max="1536" width="9.109375" style="1744"/>
    <col min="1537" max="1537" width="60.6640625" style="1744" customWidth="1"/>
    <col min="1538" max="1538" width="24.33203125" style="1744" customWidth="1"/>
    <col min="1539" max="1542" width="17.6640625" style="1744" customWidth="1"/>
    <col min="1543" max="1554" width="0" style="1744" hidden="1" customWidth="1"/>
    <col min="1555" max="1792" width="9.109375" style="1744"/>
    <col min="1793" max="1793" width="60.6640625" style="1744" customWidth="1"/>
    <col min="1794" max="1794" width="24.33203125" style="1744" customWidth="1"/>
    <col min="1795" max="1798" width="17.6640625" style="1744" customWidth="1"/>
    <col min="1799" max="1810" width="0" style="1744" hidden="1" customWidth="1"/>
    <col min="1811" max="2048" width="9.109375" style="1744"/>
    <col min="2049" max="2049" width="60.6640625" style="1744" customWidth="1"/>
    <col min="2050" max="2050" width="24.33203125" style="1744" customWidth="1"/>
    <col min="2051" max="2054" width="17.6640625" style="1744" customWidth="1"/>
    <col min="2055" max="2066" width="0" style="1744" hidden="1" customWidth="1"/>
    <col min="2067" max="2304" width="9.109375" style="1744"/>
    <col min="2305" max="2305" width="60.6640625" style="1744" customWidth="1"/>
    <col min="2306" max="2306" width="24.33203125" style="1744" customWidth="1"/>
    <col min="2307" max="2310" width="17.6640625" style="1744" customWidth="1"/>
    <col min="2311" max="2322" width="0" style="1744" hidden="1" customWidth="1"/>
    <col min="2323" max="2560" width="9.109375" style="1744"/>
    <col min="2561" max="2561" width="60.6640625" style="1744" customWidth="1"/>
    <col min="2562" max="2562" width="24.33203125" style="1744" customWidth="1"/>
    <col min="2563" max="2566" width="17.6640625" style="1744" customWidth="1"/>
    <col min="2567" max="2578" width="0" style="1744" hidden="1" customWidth="1"/>
    <col min="2579" max="2816" width="9.109375" style="1744"/>
    <col min="2817" max="2817" width="60.6640625" style="1744" customWidth="1"/>
    <col min="2818" max="2818" width="24.33203125" style="1744" customWidth="1"/>
    <col min="2819" max="2822" width="17.6640625" style="1744" customWidth="1"/>
    <col min="2823" max="2834" width="0" style="1744" hidden="1" customWidth="1"/>
    <col min="2835" max="3072" width="9.109375" style="1744"/>
    <col min="3073" max="3073" width="60.6640625" style="1744" customWidth="1"/>
    <col min="3074" max="3074" width="24.33203125" style="1744" customWidth="1"/>
    <col min="3075" max="3078" width="17.6640625" style="1744" customWidth="1"/>
    <col min="3079" max="3090" width="0" style="1744" hidden="1" customWidth="1"/>
    <col min="3091" max="3328" width="9.109375" style="1744"/>
    <col min="3329" max="3329" width="60.6640625" style="1744" customWidth="1"/>
    <col min="3330" max="3330" width="24.33203125" style="1744" customWidth="1"/>
    <col min="3331" max="3334" width="17.6640625" style="1744" customWidth="1"/>
    <col min="3335" max="3346" width="0" style="1744" hidden="1" customWidth="1"/>
    <col min="3347" max="3584" width="9.109375" style="1744"/>
    <col min="3585" max="3585" width="60.6640625" style="1744" customWidth="1"/>
    <col min="3586" max="3586" width="24.33203125" style="1744" customWidth="1"/>
    <col min="3587" max="3590" width="17.6640625" style="1744" customWidth="1"/>
    <col min="3591" max="3602" width="0" style="1744" hidden="1" customWidth="1"/>
    <col min="3603" max="3840" width="9.109375" style="1744"/>
    <col min="3841" max="3841" width="60.6640625" style="1744" customWidth="1"/>
    <col min="3842" max="3842" width="24.33203125" style="1744" customWidth="1"/>
    <col min="3843" max="3846" width="17.6640625" style="1744" customWidth="1"/>
    <col min="3847" max="3858" width="0" style="1744" hidden="1" customWidth="1"/>
    <col min="3859" max="4096" width="9.109375" style="1744"/>
    <col min="4097" max="4097" width="60.6640625" style="1744" customWidth="1"/>
    <col min="4098" max="4098" width="24.33203125" style="1744" customWidth="1"/>
    <col min="4099" max="4102" width="17.6640625" style="1744" customWidth="1"/>
    <col min="4103" max="4114" width="0" style="1744" hidden="1" customWidth="1"/>
    <col min="4115" max="4352" width="9.109375" style="1744"/>
    <col min="4353" max="4353" width="60.6640625" style="1744" customWidth="1"/>
    <col min="4354" max="4354" width="24.33203125" style="1744" customWidth="1"/>
    <col min="4355" max="4358" width="17.6640625" style="1744" customWidth="1"/>
    <col min="4359" max="4370" width="0" style="1744" hidden="1" customWidth="1"/>
    <col min="4371" max="4608" width="9.109375" style="1744"/>
    <col min="4609" max="4609" width="60.6640625" style="1744" customWidth="1"/>
    <col min="4610" max="4610" width="24.33203125" style="1744" customWidth="1"/>
    <col min="4611" max="4614" width="17.6640625" style="1744" customWidth="1"/>
    <col min="4615" max="4626" width="0" style="1744" hidden="1" customWidth="1"/>
    <col min="4627" max="4864" width="9.109375" style="1744"/>
    <col min="4865" max="4865" width="60.6640625" style="1744" customWidth="1"/>
    <col min="4866" max="4866" width="24.33203125" style="1744" customWidth="1"/>
    <col min="4867" max="4870" width="17.6640625" style="1744" customWidth="1"/>
    <col min="4871" max="4882" width="0" style="1744" hidden="1" customWidth="1"/>
    <col min="4883" max="5120" width="9.109375" style="1744"/>
    <col min="5121" max="5121" width="60.6640625" style="1744" customWidth="1"/>
    <col min="5122" max="5122" width="24.33203125" style="1744" customWidth="1"/>
    <col min="5123" max="5126" width="17.6640625" style="1744" customWidth="1"/>
    <col min="5127" max="5138" width="0" style="1744" hidden="1" customWidth="1"/>
    <col min="5139" max="5376" width="9.109375" style="1744"/>
    <col min="5377" max="5377" width="60.6640625" style="1744" customWidth="1"/>
    <col min="5378" max="5378" width="24.33203125" style="1744" customWidth="1"/>
    <col min="5379" max="5382" width="17.6640625" style="1744" customWidth="1"/>
    <col min="5383" max="5394" width="0" style="1744" hidden="1" customWidth="1"/>
    <col min="5395" max="5632" width="9.109375" style="1744"/>
    <col min="5633" max="5633" width="60.6640625" style="1744" customWidth="1"/>
    <col min="5634" max="5634" width="24.33203125" style="1744" customWidth="1"/>
    <col min="5635" max="5638" width="17.6640625" style="1744" customWidth="1"/>
    <col min="5639" max="5650" width="0" style="1744" hidden="1" customWidth="1"/>
    <col min="5651" max="5888" width="9.109375" style="1744"/>
    <col min="5889" max="5889" width="60.6640625" style="1744" customWidth="1"/>
    <col min="5890" max="5890" width="24.33203125" style="1744" customWidth="1"/>
    <col min="5891" max="5894" width="17.6640625" style="1744" customWidth="1"/>
    <col min="5895" max="5906" width="0" style="1744" hidden="1" customWidth="1"/>
    <col min="5907" max="6144" width="9.109375" style="1744"/>
    <col min="6145" max="6145" width="60.6640625" style="1744" customWidth="1"/>
    <col min="6146" max="6146" width="24.33203125" style="1744" customWidth="1"/>
    <col min="6147" max="6150" width="17.6640625" style="1744" customWidth="1"/>
    <col min="6151" max="6162" width="0" style="1744" hidden="1" customWidth="1"/>
    <col min="6163" max="6400" width="9.109375" style="1744"/>
    <col min="6401" max="6401" width="60.6640625" style="1744" customWidth="1"/>
    <col min="6402" max="6402" width="24.33203125" style="1744" customWidth="1"/>
    <col min="6403" max="6406" width="17.6640625" style="1744" customWidth="1"/>
    <col min="6407" max="6418" width="0" style="1744" hidden="1" customWidth="1"/>
    <col min="6419" max="6656" width="9.109375" style="1744"/>
    <col min="6657" max="6657" width="60.6640625" style="1744" customWidth="1"/>
    <col min="6658" max="6658" width="24.33203125" style="1744" customWidth="1"/>
    <col min="6659" max="6662" width="17.6640625" style="1744" customWidth="1"/>
    <col min="6663" max="6674" width="0" style="1744" hidden="1" customWidth="1"/>
    <col min="6675" max="6912" width="9.109375" style="1744"/>
    <col min="6913" max="6913" width="60.6640625" style="1744" customWidth="1"/>
    <col min="6914" max="6914" width="24.33203125" style="1744" customWidth="1"/>
    <col min="6915" max="6918" width="17.6640625" style="1744" customWidth="1"/>
    <col min="6919" max="6930" width="0" style="1744" hidden="1" customWidth="1"/>
    <col min="6931" max="7168" width="9.109375" style="1744"/>
    <col min="7169" max="7169" width="60.6640625" style="1744" customWidth="1"/>
    <col min="7170" max="7170" width="24.33203125" style="1744" customWidth="1"/>
    <col min="7171" max="7174" width="17.6640625" style="1744" customWidth="1"/>
    <col min="7175" max="7186" width="0" style="1744" hidden="1" customWidth="1"/>
    <col min="7187" max="7424" width="9.109375" style="1744"/>
    <col min="7425" max="7425" width="60.6640625" style="1744" customWidth="1"/>
    <col min="7426" max="7426" width="24.33203125" style="1744" customWidth="1"/>
    <col min="7427" max="7430" width="17.6640625" style="1744" customWidth="1"/>
    <col min="7431" max="7442" width="0" style="1744" hidden="1" customWidth="1"/>
    <col min="7443" max="7680" width="9.109375" style="1744"/>
    <col min="7681" max="7681" width="60.6640625" style="1744" customWidth="1"/>
    <col min="7682" max="7682" width="24.33203125" style="1744" customWidth="1"/>
    <col min="7683" max="7686" width="17.6640625" style="1744" customWidth="1"/>
    <col min="7687" max="7698" width="0" style="1744" hidden="1" customWidth="1"/>
    <col min="7699" max="7936" width="9.109375" style="1744"/>
    <col min="7937" max="7937" width="60.6640625" style="1744" customWidth="1"/>
    <col min="7938" max="7938" width="24.33203125" style="1744" customWidth="1"/>
    <col min="7939" max="7942" width="17.6640625" style="1744" customWidth="1"/>
    <col min="7943" max="7954" width="0" style="1744" hidden="1" customWidth="1"/>
    <col min="7955" max="8192" width="9.109375" style="1744"/>
    <col min="8193" max="8193" width="60.6640625" style="1744" customWidth="1"/>
    <col min="8194" max="8194" width="24.33203125" style="1744" customWidth="1"/>
    <col min="8195" max="8198" width="17.6640625" style="1744" customWidth="1"/>
    <col min="8199" max="8210" width="0" style="1744" hidden="1" customWidth="1"/>
    <col min="8211" max="8448" width="9.109375" style="1744"/>
    <col min="8449" max="8449" width="60.6640625" style="1744" customWidth="1"/>
    <col min="8450" max="8450" width="24.33203125" style="1744" customWidth="1"/>
    <col min="8451" max="8454" width="17.6640625" style="1744" customWidth="1"/>
    <col min="8455" max="8466" width="0" style="1744" hidden="1" customWidth="1"/>
    <col min="8467" max="8704" width="9.109375" style="1744"/>
    <col min="8705" max="8705" width="60.6640625" style="1744" customWidth="1"/>
    <col min="8706" max="8706" width="24.33203125" style="1744" customWidth="1"/>
    <col min="8707" max="8710" width="17.6640625" style="1744" customWidth="1"/>
    <col min="8711" max="8722" width="0" style="1744" hidden="1" customWidth="1"/>
    <col min="8723" max="8960" width="9.109375" style="1744"/>
    <col min="8961" max="8961" width="60.6640625" style="1744" customWidth="1"/>
    <col min="8962" max="8962" width="24.33203125" style="1744" customWidth="1"/>
    <col min="8963" max="8966" width="17.6640625" style="1744" customWidth="1"/>
    <col min="8967" max="8978" width="0" style="1744" hidden="1" customWidth="1"/>
    <col min="8979" max="9216" width="9.109375" style="1744"/>
    <col min="9217" max="9217" width="60.6640625" style="1744" customWidth="1"/>
    <col min="9218" max="9218" width="24.33203125" style="1744" customWidth="1"/>
    <col min="9219" max="9222" width="17.6640625" style="1744" customWidth="1"/>
    <col min="9223" max="9234" width="0" style="1744" hidden="1" customWidth="1"/>
    <col min="9235" max="9472" width="9.109375" style="1744"/>
    <col min="9473" max="9473" width="60.6640625" style="1744" customWidth="1"/>
    <col min="9474" max="9474" width="24.33203125" style="1744" customWidth="1"/>
    <col min="9475" max="9478" width="17.6640625" style="1744" customWidth="1"/>
    <col min="9479" max="9490" width="0" style="1744" hidden="1" customWidth="1"/>
    <col min="9491" max="9728" width="9.109375" style="1744"/>
    <col min="9729" max="9729" width="60.6640625" style="1744" customWidth="1"/>
    <col min="9730" max="9730" width="24.33203125" style="1744" customWidth="1"/>
    <col min="9731" max="9734" width="17.6640625" style="1744" customWidth="1"/>
    <col min="9735" max="9746" width="0" style="1744" hidden="1" customWidth="1"/>
    <col min="9747" max="9984" width="9.109375" style="1744"/>
    <col min="9985" max="9985" width="60.6640625" style="1744" customWidth="1"/>
    <col min="9986" max="9986" width="24.33203125" style="1744" customWidth="1"/>
    <col min="9987" max="9990" width="17.6640625" style="1744" customWidth="1"/>
    <col min="9991" max="10002" width="0" style="1744" hidden="1" customWidth="1"/>
    <col min="10003" max="10240" width="9.109375" style="1744"/>
    <col min="10241" max="10241" width="60.6640625" style="1744" customWidth="1"/>
    <col min="10242" max="10242" width="24.33203125" style="1744" customWidth="1"/>
    <col min="10243" max="10246" width="17.6640625" style="1744" customWidth="1"/>
    <col min="10247" max="10258" width="0" style="1744" hidden="1" customWidth="1"/>
    <col min="10259" max="10496" width="9.109375" style="1744"/>
    <col min="10497" max="10497" width="60.6640625" style="1744" customWidth="1"/>
    <col min="10498" max="10498" width="24.33203125" style="1744" customWidth="1"/>
    <col min="10499" max="10502" width="17.6640625" style="1744" customWidth="1"/>
    <col min="10503" max="10514" width="0" style="1744" hidden="1" customWidth="1"/>
    <col min="10515" max="10752" width="9.109375" style="1744"/>
    <col min="10753" max="10753" width="60.6640625" style="1744" customWidth="1"/>
    <col min="10754" max="10754" width="24.33203125" style="1744" customWidth="1"/>
    <col min="10755" max="10758" width="17.6640625" style="1744" customWidth="1"/>
    <col min="10759" max="10770" width="0" style="1744" hidden="1" customWidth="1"/>
    <col min="10771" max="11008" width="9.109375" style="1744"/>
    <col min="11009" max="11009" width="60.6640625" style="1744" customWidth="1"/>
    <col min="11010" max="11010" width="24.33203125" style="1744" customWidth="1"/>
    <col min="11011" max="11014" width="17.6640625" style="1744" customWidth="1"/>
    <col min="11015" max="11026" width="0" style="1744" hidden="1" customWidth="1"/>
    <col min="11027" max="11264" width="9.109375" style="1744"/>
    <col min="11265" max="11265" width="60.6640625" style="1744" customWidth="1"/>
    <col min="11266" max="11266" width="24.33203125" style="1744" customWidth="1"/>
    <col min="11267" max="11270" width="17.6640625" style="1744" customWidth="1"/>
    <col min="11271" max="11282" width="0" style="1744" hidden="1" customWidth="1"/>
    <col min="11283" max="11520" width="9.109375" style="1744"/>
    <col min="11521" max="11521" width="60.6640625" style="1744" customWidth="1"/>
    <col min="11522" max="11522" width="24.33203125" style="1744" customWidth="1"/>
    <col min="11523" max="11526" width="17.6640625" style="1744" customWidth="1"/>
    <col min="11527" max="11538" width="0" style="1744" hidden="1" customWidth="1"/>
    <col min="11539" max="11776" width="9.109375" style="1744"/>
    <col min="11777" max="11777" width="60.6640625" style="1744" customWidth="1"/>
    <col min="11778" max="11778" width="24.33203125" style="1744" customWidth="1"/>
    <col min="11779" max="11782" width="17.6640625" style="1744" customWidth="1"/>
    <col min="11783" max="11794" width="0" style="1744" hidden="1" customWidth="1"/>
    <col min="11795" max="12032" width="9.109375" style="1744"/>
    <col min="12033" max="12033" width="60.6640625" style="1744" customWidth="1"/>
    <col min="12034" max="12034" width="24.33203125" style="1744" customWidth="1"/>
    <col min="12035" max="12038" width="17.6640625" style="1744" customWidth="1"/>
    <col min="12039" max="12050" width="0" style="1744" hidden="1" customWidth="1"/>
    <col min="12051" max="12288" width="9.109375" style="1744"/>
    <col min="12289" max="12289" width="60.6640625" style="1744" customWidth="1"/>
    <col min="12290" max="12290" width="24.33203125" style="1744" customWidth="1"/>
    <col min="12291" max="12294" width="17.6640625" style="1744" customWidth="1"/>
    <col min="12295" max="12306" width="0" style="1744" hidden="1" customWidth="1"/>
    <col min="12307" max="12544" width="9.109375" style="1744"/>
    <col min="12545" max="12545" width="60.6640625" style="1744" customWidth="1"/>
    <col min="12546" max="12546" width="24.33203125" style="1744" customWidth="1"/>
    <col min="12547" max="12550" width="17.6640625" style="1744" customWidth="1"/>
    <col min="12551" max="12562" width="0" style="1744" hidden="1" customWidth="1"/>
    <col min="12563" max="12800" width="9.109375" style="1744"/>
    <col min="12801" max="12801" width="60.6640625" style="1744" customWidth="1"/>
    <col min="12802" max="12802" width="24.33203125" style="1744" customWidth="1"/>
    <col min="12803" max="12806" width="17.6640625" style="1744" customWidth="1"/>
    <col min="12807" max="12818" width="0" style="1744" hidden="1" customWidth="1"/>
    <col min="12819" max="13056" width="9.109375" style="1744"/>
    <col min="13057" max="13057" width="60.6640625" style="1744" customWidth="1"/>
    <col min="13058" max="13058" width="24.33203125" style="1744" customWidth="1"/>
    <col min="13059" max="13062" width="17.6640625" style="1744" customWidth="1"/>
    <col min="13063" max="13074" width="0" style="1744" hidden="1" customWidth="1"/>
    <col min="13075" max="13312" width="9.109375" style="1744"/>
    <col min="13313" max="13313" width="60.6640625" style="1744" customWidth="1"/>
    <col min="13314" max="13314" width="24.33203125" style="1744" customWidth="1"/>
    <col min="13315" max="13318" width="17.6640625" style="1744" customWidth="1"/>
    <col min="13319" max="13330" width="0" style="1744" hidden="1" customWidth="1"/>
    <col min="13331" max="13568" width="9.109375" style="1744"/>
    <col min="13569" max="13569" width="60.6640625" style="1744" customWidth="1"/>
    <col min="13570" max="13570" width="24.33203125" style="1744" customWidth="1"/>
    <col min="13571" max="13574" width="17.6640625" style="1744" customWidth="1"/>
    <col min="13575" max="13586" width="0" style="1744" hidden="1" customWidth="1"/>
    <col min="13587" max="13824" width="9.109375" style="1744"/>
    <col min="13825" max="13825" width="60.6640625" style="1744" customWidth="1"/>
    <col min="13826" max="13826" width="24.33203125" style="1744" customWidth="1"/>
    <col min="13827" max="13830" width="17.6640625" style="1744" customWidth="1"/>
    <col min="13831" max="13842" width="0" style="1744" hidden="1" customWidth="1"/>
    <col min="13843" max="14080" width="9.109375" style="1744"/>
    <col min="14081" max="14081" width="60.6640625" style="1744" customWidth="1"/>
    <col min="14082" max="14082" width="24.33203125" style="1744" customWidth="1"/>
    <col min="14083" max="14086" width="17.6640625" style="1744" customWidth="1"/>
    <col min="14087" max="14098" width="0" style="1744" hidden="1" customWidth="1"/>
    <col min="14099" max="14336" width="9.109375" style="1744"/>
    <col min="14337" max="14337" width="60.6640625" style="1744" customWidth="1"/>
    <col min="14338" max="14338" width="24.33203125" style="1744" customWidth="1"/>
    <col min="14339" max="14342" width="17.6640625" style="1744" customWidth="1"/>
    <col min="14343" max="14354" width="0" style="1744" hidden="1" customWidth="1"/>
    <col min="14355" max="14592" width="9.109375" style="1744"/>
    <col min="14593" max="14593" width="60.6640625" style="1744" customWidth="1"/>
    <col min="14594" max="14594" width="24.33203125" style="1744" customWidth="1"/>
    <col min="14595" max="14598" width="17.6640625" style="1744" customWidth="1"/>
    <col min="14599" max="14610" width="0" style="1744" hidden="1" customWidth="1"/>
    <col min="14611" max="14848" width="9.109375" style="1744"/>
    <col min="14849" max="14849" width="60.6640625" style="1744" customWidth="1"/>
    <col min="14850" max="14850" width="24.33203125" style="1744" customWidth="1"/>
    <col min="14851" max="14854" width="17.6640625" style="1744" customWidth="1"/>
    <col min="14855" max="14866" width="0" style="1744" hidden="1" customWidth="1"/>
    <col min="14867" max="15104" width="9.109375" style="1744"/>
    <col min="15105" max="15105" width="60.6640625" style="1744" customWidth="1"/>
    <col min="15106" max="15106" width="24.33203125" style="1744" customWidth="1"/>
    <col min="15107" max="15110" width="17.6640625" style="1744" customWidth="1"/>
    <col min="15111" max="15122" width="0" style="1744" hidden="1" customWidth="1"/>
    <col min="15123" max="15360" width="9.109375" style="1744"/>
    <col min="15361" max="15361" width="60.6640625" style="1744" customWidth="1"/>
    <col min="15362" max="15362" width="24.33203125" style="1744" customWidth="1"/>
    <col min="15363" max="15366" width="17.6640625" style="1744" customWidth="1"/>
    <col min="15367" max="15378" width="0" style="1744" hidden="1" customWidth="1"/>
    <col min="15379" max="15616" width="9.109375" style="1744"/>
    <col min="15617" max="15617" width="60.6640625" style="1744" customWidth="1"/>
    <col min="15618" max="15618" width="24.33203125" style="1744" customWidth="1"/>
    <col min="15619" max="15622" width="17.6640625" style="1744" customWidth="1"/>
    <col min="15623" max="15634" width="0" style="1744" hidden="1" customWidth="1"/>
    <col min="15635" max="15872" width="9.109375" style="1744"/>
    <col min="15873" max="15873" width="60.6640625" style="1744" customWidth="1"/>
    <col min="15874" max="15874" width="24.33203125" style="1744" customWidth="1"/>
    <col min="15875" max="15878" width="17.6640625" style="1744" customWidth="1"/>
    <col min="15879" max="15890" width="0" style="1744" hidden="1" customWidth="1"/>
    <col min="15891" max="16128" width="9.109375" style="1744"/>
    <col min="16129" max="16129" width="60.6640625" style="1744" customWidth="1"/>
    <col min="16130" max="16130" width="24.33203125" style="1744" customWidth="1"/>
    <col min="16131" max="16134" width="17.6640625" style="1744" customWidth="1"/>
    <col min="16135" max="16146" width="0" style="1744" hidden="1" customWidth="1"/>
    <col min="16147" max="16384" width="9.109375" style="1744"/>
  </cols>
  <sheetData>
    <row r="1" spans="1:17" ht="23.25" customHeight="1">
      <c r="A1" s="2997" t="s">
        <v>1825</v>
      </c>
      <c r="B1" s="2997"/>
      <c r="C1" s="2997"/>
      <c r="D1" s="2997"/>
      <c r="E1" s="2997"/>
      <c r="F1" s="2997"/>
      <c r="G1" s="1743"/>
    </row>
    <row r="2" spans="1:17" ht="24" customHeight="1">
      <c r="A2" s="2998" t="str">
        <f>'[13]1тсо кроме мрск НК'!A2:F2</f>
        <v xml:space="preserve">АО "РКЦ "Прогресс" </v>
      </c>
      <c r="B2" s="2998"/>
      <c r="C2" s="2998"/>
      <c r="D2" s="2998"/>
      <c r="E2" s="2998"/>
      <c r="F2" s="2998"/>
      <c r="G2" s="1743"/>
    </row>
    <row r="3" spans="1:17" ht="16.5" customHeight="1">
      <c r="A3" s="2999" t="s">
        <v>458</v>
      </c>
      <c r="B3" s="2999"/>
      <c r="C3" s="2999"/>
      <c r="D3" s="2999"/>
      <c r="E3" s="2999"/>
      <c r="F3" s="2999"/>
      <c r="G3" s="1743"/>
    </row>
    <row r="4" spans="1:17" ht="9.75" customHeight="1" thickBot="1">
      <c r="A4" s="1745"/>
      <c r="B4" s="1745"/>
      <c r="C4" s="1745"/>
      <c r="D4" s="1745"/>
      <c r="E4" s="1745"/>
      <c r="F4" s="1745"/>
      <c r="G4" s="1743"/>
    </row>
    <row r="5" spans="1:17" ht="24" customHeight="1" thickBot="1">
      <c r="A5" s="3000" t="s">
        <v>459</v>
      </c>
      <c r="B5" s="3001" t="s">
        <v>279</v>
      </c>
      <c r="C5" s="3002" t="s">
        <v>461</v>
      </c>
      <c r="D5" s="3002"/>
      <c r="E5" s="3002"/>
      <c r="F5" s="3002"/>
      <c r="G5" s="1746"/>
    </row>
    <row r="6" spans="1:17" ht="33.75" customHeight="1" thickBot="1">
      <c r="A6" s="3000"/>
      <c r="B6" s="3001"/>
      <c r="C6" s="1747" t="s">
        <v>292</v>
      </c>
      <c r="D6" s="1747" t="s">
        <v>217</v>
      </c>
      <c r="E6" s="1747" t="s">
        <v>218</v>
      </c>
      <c r="F6" s="1748" t="s">
        <v>280</v>
      </c>
      <c r="G6" s="1746"/>
    </row>
    <row r="7" spans="1:17" ht="23.25" customHeight="1">
      <c r="A7" s="2982" t="s">
        <v>1742</v>
      </c>
      <c r="B7" s="2982"/>
      <c r="C7" s="2982"/>
      <c r="D7" s="2982"/>
      <c r="E7" s="2982"/>
      <c r="F7" s="2982"/>
      <c r="G7" s="1749"/>
      <c r="H7" s="1750"/>
    </row>
    <row r="8" spans="1:17" ht="16.5" customHeight="1" thickBot="1">
      <c r="A8" s="2983" t="s">
        <v>467</v>
      </c>
      <c r="B8" s="2983"/>
      <c r="C8" s="2983"/>
      <c r="D8" s="2983"/>
      <c r="E8" s="2983"/>
      <c r="F8" s="2983"/>
      <c r="G8" s="1749"/>
      <c r="H8" s="1750"/>
      <c r="J8" s="1744" t="s">
        <v>1502</v>
      </c>
    </row>
    <row r="9" spans="1:17" ht="24.75" customHeight="1">
      <c r="A9" s="1759" t="s">
        <v>933</v>
      </c>
      <c r="B9" s="2078">
        <f>SUM(C9:F9)</f>
        <v>3.9770000000000003</v>
      </c>
      <c r="C9" s="1792"/>
      <c r="D9" s="1792"/>
      <c r="E9" s="1799">
        <f>E20+E13</f>
        <v>2.403</v>
      </c>
      <c r="F9" s="2079">
        <f>F20+F13</f>
        <v>1.5740000000000001</v>
      </c>
      <c r="G9" s="1749"/>
      <c r="H9" s="1750"/>
      <c r="J9" s="1756">
        <v>3507.2</v>
      </c>
    </row>
    <row r="10" spans="1:17" ht="24.75" customHeight="1" thickBot="1">
      <c r="A10" s="1757" t="s">
        <v>464</v>
      </c>
      <c r="B10" s="1758">
        <f>SUM(C10:F10)</f>
        <v>8.2122448979591841E-4</v>
      </c>
      <c r="C10" s="2080"/>
      <c r="D10" s="2080"/>
      <c r="E10" s="1801">
        <f>E14+E21</f>
        <v>5.0000000000000001E-4</v>
      </c>
      <c r="F10" s="2081">
        <f>F14+F21</f>
        <v>3.212244897959184E-4</v>
      </c>
      <c r="G10" s="1749"/>
      <c r="H10" s="1750"/>
      <c r="O10" s="1769">
        <f>B9/B10</f>
        <v>4842.7683896620283</v>
      </c>
      <c r="P10" s="1744">
        <f>E9/E10</f>
        <v>4806</v>
      </c>
      <c r="Q10" s="1744">
        <f>F9/F10</f>
        <v>4900</v>
      </c>
    </row>
    <row r="11" spans="1:17" ht="20.25" customHeight="1">
      <c r="A11" s="2980" t="s">
        <v>934</v>
      </c>
      <c r="B11" s="2980"/>
      <c r="C11" s="2980"/>
      <c r="D11" s="2980"/>
      <c r="E11" s="2980"/>
      <c r="F11" s="2980"/>
      <c r="G11" s="1749"/>
      <c r="H11" s="1750"/>
    </row>
    <row r="12" spans="1:17" ht="18.75" customHeight="1" thickBot="1">
      <c r="A12" s="2983" t="s">
        <v>1503</v>
      </c>
      <c r="B12" s="2983"/>
      <c r="C12" s="2983"/>
      <c r="D12" s="2983"/>
      <c r="E12" s="2983"/>
      <c r="F12" s="2983"/>
      <c r="G12" s="1749"/>
      <c r="H12" s="1750"/>
      <c r="J12" s="1756" t="s">
        <v>1504</v>
      </c>
    </row>
    <row r="13" spans="1:17" ht="25.5" customHeight="1">
      <c r="A13" s="1759" t="s">
        <v>933</v>
      </c>
      <c r="B13" s="1770"/>
      <c r="C13" s="1771"/>
      <c r="D13" s="1771"/>
      <c r="E13" s="1772"/>
      <c r="F13" s="1773"/>
      <c r="G13" s="1763"/>
      <c r="H13" s="1750"/>
      <c r="J13" s="1756">
        <v>1583.49</v>
      </c>
      <c r="O13" s="1744" t="e">
        <f>F13/F14</f>
        <v>#DIV/0!</v>
      </c>
    </row>
    <row r="14" spans="1:17" ht="25.5" customHeight="1" thickBot="1">
      <c r="A14" s="1764" t="s">
        <v>464</v>
      </c>
      <c r="B14" s="1774"/>
      <c r="C14" s="1775"/>
      <c r="D14" s="1775"/>
      <c r="E14" s="1776"/>
      <c r="F14" s="1777"/>
      <c r="G14" s="1767" t="e">
        <f>F13/F14</f>
        <v>#DIV/0!</v>
      </c>
      <c r="H14" s="1750"/>
      <c r="J14" s="1768">
        <v>0.44500000000000001</v>
      </c>
      <c r="K14" s="1769">
        <f>J13/J14</f>
        <v>3558.4044943820222</v>
      </c>
    </row>
    <row r="15" spans="1:17" ht="20.25" customHeight="1">
      <c r="A15" s="2980" t="s">
        <v>934</v>
      </c>
      <c r="B15" s="2980"/>
      <c r="C15" s="2980"/>
      <c r="D15" s="2980"/>
      <c r="E15" s="2980"/>
      <c r="F15" s="2980"/>
      <c r="G15" s="1749"/>
      <c r="H15" s="1750"/>
    </row>
    <row r="16" spans="1:17" ht="24" customHeight="1" thickBot="1">
      <c r="A16" s="2993" t="s">
        <v>1505</v>
      </c>
      <c r="B16" s="2993"/>
      <c r="C16" s="2993"/>
      <c r="D16" s="2993"/>
      <c r="E16" s="2993"/>
      <c r="F16" s="2993"/>
      <c r="G16" s="1749"/>
      <c r="H16" s="1750"/>
      <c r="J16" s="1756" t="s">
        <v>1504</v>
      </c>
    </row>
    <row r="17" spans="1:22" ht="24" customHeight="1">
      <c r="A17" s="1759" t="s">
        <v>933</v>
      </c>
      <c r="B17" s="1770"/>
      <c r="C17" s="1771"/>
      <c r="D17" s="1771"/>
      <c r="E17" s="1772"/>
      <c r="F17" s="1773"/>
      <c r="G17" s="1763"/>
      <c r="H17" s="1750"/>
      <c r="J17" s="1756">
        <v>1583.49</v>
      </c>
    </row>
    <row r="18" spans="1:22" ht="24" customHeight="1" thickBot="1">
      <c r="A18" s="1764" t="s">
        <v>464</v>
      </c>
      <c r="B18" s="1774"/>
      <c r="C18" s="1775"/>
      <c r="D18" s="1775"/>
      <c r="E18" s="1776"/>
      <c r="F18" s="1777"/>
      <c r="G18" s="1767" t="e">
        <f>F17/F18</f>
        <v>#DIV/0!</v>
      </c>
      <c r="H18" s="1750"/>
      <c r="J18" s="1768">
        <v>0.44500000000000001</v>
      </c>
      <c r="K18" s="1769">
        <f>J17/J18</f>
        <v>3558.4044943820222</v>
      </c>
    </row>
    <row r="19" spans="1:22" ht="22.5" customHeight="1" thickBot="1">
      <c r="A19" s="2983" t="s">
        <v>1506</v>
      </c>
      <c r="B19" s="2983"/>
      <c r="C19" s="2983"/>
      <c r="D19" s="2983"/>
      <c r="E19" s="2983"/>
      <c r="F19" s="2983"/>
      <c r="G19" s="1778">
        <f>F24+F40</f>
        <v>3.1480000000000001</v>
      </c>
      <c r="H19" s="1779" t="s">
        <v>1507</v>
      </c>
      <c r="I19" s="1756"/>
      <c r="J19" s="1756">
        <f>J20+J40</f>
        <v>1183.21</v>
      </c>
    </row>
    <row r="20" spans="1:22" ht="22.5" customHeight="1">
      <c r="A20" s="1751" t="s">
        <v>933</v>
      </c>
      <c r="B20" s="2078">
        <f>SUM(C20:F20)</f>
        <v>3.9770000000000003</v>
      </c>
      <c r="C20" s="1792"/>
      <c r="D20" s="1792"/>
      <c r="E20" s="1792">
        <f>E24+E27</f>
        <v>2.403</v>
      </c>
      <c r="F20" s="2079">
        <f>F24+F27</f>
        <v>1.5740000000000001</v>
      </c>
      <c r="G20" s="1750"/>
      <c r="H20" s="1750"/>
      <c r="J20" s="1744">
        <v>1183.21</v>
      </c>
    </row>
    <row r="21" spans="1:22" ht="22.5" customHeight="1" thickBot="1">
      <c r="A21" s="1764" t="s">
        <v>464</v>
      </c>
      <c r="B21" s="1758">
        <f>SUM(C21:F21)</f>
        <v>8.2122448979591841E-4</v>
      </c>
      <c r="C21" s="2080"/>
      <c r="D21" s="2080"/>
      <c r="E21" s="2082">
        <f>E25+E28</f>
        <v>5.0000000000000001E-4</v>
      </c>
      <c r="F21" s="2081">
        <f>F25+F28</f>
        <v>3.212244897959184E-4</v>
      </c>
      <c r="G21" s="1767">
        <f>F20/F21</f>
        <v>4900</v>
      </c>
      <c r="H21" s="1750"/>
      <c r="J21" s="1744">
        <v>0.34200000000000003</v>
      </c>
      <c r="K21" s="1769">
        <f>J20/J21</f>
        <v>3459.6783625730991</v>
      </c>
      <c r="U21" s="1744">
        <f>E20/E21</f>
        <v>4806</v>
      </c>
      <c r="V21" s="1744">
        <f>F20/F21</f>
        <v>4900</v>
      </c>
    </row>
    <row r="22" spans="1:22" ht="20.25" customHeight="1">
      <c r="A22" s="2980" t="s">
        <v>934</v>
      </c>
      <c r="B22" s="2980"/>
      <c r="C22" s="2980"/>
      <c r="D22" s="2980"/>
      <c r="E22" s="2980"/>
      <c r="F22" s="2980"/>
      <c r="G22" s="1750"/>
      <c r="H22" s="1750"/>
    </row>
    <row r="23" spans="1:22" ht="21.75" customHeight="1" thickBot="1">
      <c r="A23" s="2977" t="s">
        <v>1508</v>
      </c>
      <c r="B23" s="2977"/>
      <c r="C23" s="2977"/>
      <c r="D23" s="2977"/>
      <c r="E23" s="2977"/>
      <c r="F23" s="2977"/>
      <c r="G23" s="1750"/>
      <c r="H23" s="1750"/>
    </row>
    <row r="24" spans="1:22" ht="22.5" customHeight="1">
      <c r="A24" s="1751" t="s">
        <v>933</v>
      </c>
      <c r="B24" s="2078">
        <f>SUM(C24:F24)</f>
        <v>3.9770000000000003</v>
      </c>
      <c r="C24" s="1792"/>
      <c r="D24" s="1792"/>
      <c r="E24" s="1792">
        <f>E40</f>
        <v>2.403</v>
      </c>
      <c r="F24" s="2079">
        <f>F40</f>
        <v>1.5740000000000001</v>
      </c>
      <c r="G24" s="1750"/>
      <c r="H24" s="1750"/>
    </row>
    <row r="25" spans="1:22" ht="22.5" customHeight="1" thickBot="1">
      <c r="A25" s="1764" t="s">
        <v>464</v>
      </c>
      <c r="B25" s="1758">
        <f>SUM(C25:F25)</f>
        <v>8.2122448979591841E-4</v>
      </c>
      <c r="C25" s="2080"/>
      <c r="D25" s="2080"/>
      <c r="E25" s="2082">
        <f>E41</f>
        <v>5.0000000000000001E-4</v>
      </c>
      <c r="F25" s="2083">
        <f>F41</f>
        <v>3.212244897959184E-4</v>
      </c>
      <c r="G25" s="1750"/>
      <c r="H25" s="1750"/>
    </row>
    <row r="26" spans="1:22" ht="24.75" customHeight="1" thickBot="1">
      <c r="A26" s="2978" t="s">
        <v>1509</v>
      </c>
      <c r="B26" s="2978"/>
      <c r="C26" s="2978"/>
      <c r="D26" s="2978"/>
      <c r="E26" s="2978"/>
      <c r="F26" s="2978"/>
      <c r="G26" s="1750"/>
      <c r="H26" s="1750"/>
    </row>
    <row r="27" spans="1:22" ht="24.75" customHeight="1">
      <c r="A27" s="1751" t="s">
        <v>933</v>
      </c>
      <c r="B27" s="1781"/>
      <c r="C27" s="1782"/>
      <c r="D27" s="1782"/>
      <c r="E27" s="1783"/>
      <c r="F27" s="1784"/>
      <c r="G27" s="1750"/>
      <c r="H27" s="1750"/>
    </row>
    <row r="28" spans="1:22" ht="24.75" customHeight="1" thickBot="1">
      <c r="A28" s="1764" t="s">
        <v>464</v>
      </c>
      <c r="B28" s="1774"/>
      <c r="C28" s="1775"/>
      <c r="D28" s="1775"/>
      <c r="E28" s="1776"/>
      <c r="F28" s="1785"/>
      <c r="G28" s="1750"/>
      <c r="H28" s="1750"/>
    </row>
    <row r="29" spans="1:22" ht="39.75" customHeight="1" thickBot="1">
      <c r="A29" s="2994" t="s">
        <v>1510</v>
      </c>
      <c r="B29" s="2995"/>
      <c r="C29" s="2995"/>
      <c r="D29" s="2995"/>
      <c r="E29" s="2995"/>
      <c r="F29" s="2996"/>
      <c r="G29" s="1778">
        <f>F34+F50</f>
        <v>0</v>
      </c>
      <c r="H29" s="1779" t="s">
        <v>1507</v>
      </c>
      <c r="I29" s="1756"/>
      <c r="J29" s="1756">
        <f>J30+J50</f>
        <v>1923.71</v>
      </c>
    </row>
    <row r="30" spans="1:22" ht="25.5" customHeight="1">
      <c r="A30" s="1751" t="s">
        <v>933</v>
      </c>
      <c r="B30" s="1786"/>
      <c r="C30" s="1782"/>
      <c r="D30" s="1782"/>
      <c r="E30" s="1783"/>
      <c r="F30" s="1784"/>
      <c r="G30" s="1750"/>
      <c r="H30" s="1750"/>
      <c r="J30" s="1744">
        <v>1183.21</v>
      </c>
    </row>
    <row r="31" spans="1:22" ht="25.5" customHeight="1" thickBot="1">
      <c r="A31" s="1764" t="s">
        <v>464</v>
      </c>
      <c r="B31" s="1787"/>
      <c r="C31" s="1775"/>
      <c r="D31" s="1775"/>
      <c r="E31" s="1776"/>
      <c r="F31" s="1788"/>
      <c r="G31" s="1767" t="e">
        <f>F30/F31</f>
        <v>#DIV/0!</v>
      </c>
      <c r="H31" s="1750"/>
      <c r="J31" s="1744">
        <v>0.34200000000000003</v>
      </c>
      <c r="K31" s="1769">
        <f>J30/J31</f>
        <v>3459.6783625730991</v>
      </c>
    </row>
    <row r="32" spans="1:22" ht="19.5" customHeight="1">
      <c r="A32" s="2980" t="s">
        <v>934</v>
      </c>
      <c r="B32" s="2980"/>
      <c r="C32" s="2980"/>
      <c r="D32" s="2980"/>
      <c r="E32" s="2980"/>
      <c r="F32" s="2980"/>
      <c r="G32" s="1750"/>
      <c r="H32" s="1750"/>
    </row>
    <row r="33" spans="1:8" ht="25.5" customHeight="1" thickBot="1">
      <c r="A33" s="2977" t="s">
        <v>1511</v>
      </c>
      <c r="B33" s="2977"/>
      <c r="C33" s="2977"/>
      <c r="D33" s="2977"/>
      <c r="E33" s="2977"/>
      <c r="F33" s="2977"/>
      <c r="G33" s="1750"/>
      <c r="H33" s="1750"/>
    </row>
    <row r="34" spans="1:8" ht="22.5" customHeight="1">
      <c r="A34" s="1751" t="s">
        <v>933</v>
      </c>
      <c r="B34" s="1786"/>
      <c r="C34" s="1782"/>
      <c r="D34" s="1782"/>
      <c r="E34" s="1783"/>
      <c r="F34" s="1784"/>
      <c r="G34" s="1750"/>
      <c r="H34" s="1750"/>
    </row>
    <row r="35" spans="1:8" ht="22.5" customHeight="1" thickBot="1">
      <c r="A35" s="1764" t="s">
        <v>464</v>
      </c>
      <c r="B35" s="1787"/>
      <c r="C35" s="1775"/>
      <c r="D35" s="1775"/>
      <c r="E35" s="1776"/>
      <c r="F35" s="1788"/>
      <c r="G35" s="1750"/>
      <c r="H35" s="1750"/>
    </row>
    <row r="36" spans="1:8" ht="22.5" customHeight="1" thickBot="1">
      <c r="A36" s="2978" t="s">
        <v>1512</v>
      </c>
      <c r="B36" s="2978"/>
      <c r="C36" s="2978"/>
      <c r="D36" s="2978"/>
      <c r="E36" s="2978"/>
      <c r="F36" s="2978"/>
      <c r="G36" s="1750"/>
      <c r="H36" s="1750"/>
    </row>
    <row r="37" spans="1:8" ht="22.5" customHeight="1">
      <c r="A37" s="1751" t="s">
        <v>933</v>
      </c>
      <c r="B37" s="1786"/>
      <c r="C37" s="1782"/>
      <c r="D37" s="1782"/>
      <c r="E37" s="1783"/>
      <c r="F37" s="1789"/>
      <c r="G37" s="1750"/>
      <c r="H37" s="1750"/>
    </row>
    <row r="38" spans="1:8" ht="22.5" customHeight="1" thickBot="1">
      <c r="A38" s="1764" t="s">
        <v>464</v>
      </c>
      <c r="B38" s="1787"/>
      <c r="C38" s="1775"/>
      <c r="D38" s="1775"/>
      <c r="E38" s="1776"/>
      <c r="F38" s="1788"/>
      <c r="G38" s="1750"/>
      <c r="H38" s="1750"/>
    </row>
    <row r="39" spans="1:8" ht="27" customHeight="1" thickBot="1">
      <c r="A39" s="2979" t="s">
        <v>1513</v>
      </c>
      <c r="B39" s="2979"/>
      <c r="C39" s="2979"/>
      <c r="D39" s="2979"/>
      <c r="E39" s="2979"/>
      <c r="F39" s="2979"/>
      <c r="G39" s="1750"/>
      <c r="H39" s="1750"/>
    </row>
    <row r="40" spans="1:8" ht="27" customHeight="1">
      <c r="A40" s="1751" t="s">
        <v>933</v>
      </c>
      <c r="B40" s="2078">
        <f>SUM(C40:F40)</f>
        <v>3.9770000000000003</v>
      </c>
      <c r="C40" s="1792"/>
      <c r="D40" s="1792"/>
      <c r="E40" s="1799">
        <f>E44</f>
        <v>2.403</v>
      </c>
      <c r="F40" s="2079">
        <f>F44</f>
        <v>1.5740000000000001</v>
      </c>
      <c r="G40" s="1750"/>
      <c r="H40" s="1750"/>
    </row>
    <row r="41" spans="1:8" ht="27" customHeight="1" thickBot="1">
      <c r="A41" s="1764" t="s">
        <v>464</v>
      </c>
      <c r="B41" s="1758">
        <f>SUM(C41:F41)</f>
        <v>8.2122448979591841E-4</v>
      </c>
      <c r="C41" s="2080"/>
      <c r="D41" s="2080"/>
      <c r="E41" s="2082">
        <f>E45</f>
        <v>5.0000000000000001E-4</v>
      </c>
      <c r="F41" s="2083">
        <f>F45</f>
        <v>3.212244897959184E-4</v>
      </c>
      <c r="G41" s="1750"/>
      <c r="H41" s="1750"/>
    </row>
    <row r="42" spans="1:8" ht="20.25" customHeight="1">
      <c r="A42" s="2980" t="s">
        <v>934</v>
      </c>
      <c r="B42" s="2980"/>
      <c r="C42" s="2980"/>
      <c r="D42" s="2980"/>
      <c r="E42" s="2980"/>
      <c r="F42" s="2980"/>
      <c r="G42" s="1750"/>
      <c r="H42" s="1750"/>
    </row>
    <row r="43" spans="1:8" ht="20.25" customHeight="1" thickBot="1">
      <c r="A43" s="2977" t="s">
        <v>1514</v>
      </c>
      <c r="B43" s="2977"/>
      <c r="C43" s="2977"/>
      <c r="D43" s="2977"/>
      <c r="E43" s="2977"/>
      <c r="F43" s="2977"/>
      <c r="G43" s="1750"/>
      <c r="H43" s="1750"/>
    </row>
    <row r="44" spans="1:8" ht="21.75" customHeight="1">
      <c r="A44" s="1751" t="s">
        <v>933</v>
      </c>
      <c r="B44" s="2078">
        <f>SUM(C44:F44)</f>
        <v>3.9770000000000003</v>
      </c>
      <c r="C44" s="1792"/>
      <c r="D44" s="1792"/>
      <c r="E44" s="1799">
        <f>'[13]1тсо кроме мрск НК'!E44+'[13]2тсо кроме мрск НК'!E44</f>
        <v>2.403</v>
      </c>
      <c r="F44" s="2087">
        <f>'[13]1тсо кроме мрск НК'!F44+'[13]2тсо кроме мрск НК'!F44</f>
        <v>1.5740000000000001</v>
      </c>
      <c r="G44" s="1750"/>
      <c r="H44" s="1750"/>
    </row>
    <row r="45" spans="1:8" ht="21.75" customHeight="1" thickBot="1">
      <c r="A45" s="1764" t="s">
        <v>464</v>
      </c>
      <c r="B45" s="1758">
        <f>SUM(C45:F45)</f>
        <v>8.2122448979591841E-4</v>
      </c>
      <c r="C45" s="2080"/>
      <c r="D45" s="2080"/>
      <c r="E45" s="2088">
        <f>('[13]1тсо кроме мрск НК'!E45+'[13]2тсо кроме мрск НК'!E45)/2</f>
        <v>5.0000000000000001E-4</v>
      </c>
      <c r="F45" s="2089">
        <f>('[13]1тсо кроме мрск НК'!F45+'[13]2тсо кроме мрск НК'!F45)/2</f>
        <v>3.212244897959184E-4</v>
      </c>
      <c r="G45" s="1750"/>
      <c r="H45" s="1750"/>
    </row>
    <row r="46" spans="1:8" ht="25.5" customHeight="1" thickBot="1">
      <c r="A46" s="2978" t="s">
        <v>1515</v>
      </c>
      <c r="B46" s="2978"/>
      <c r="C46" s="2978"/>
      <c r="D46" s="2978"/>
      <c r="E46" s="2978"/>
      <c r="F46" s="2978"/>
      <c r="G46" s="1750"/>
      <c r="H46" s="1750"/>
    </row>
    <row r="47" spans="1:8" ht="22.5" customHeight="1">
      <c r="A47" s="1751" t="s">
        <v>933</v>
      </c>
      <c r="B47" s="1790"/>
      <c r="C47" s="1791"/>
      <c r="D47" s="1791"/>
      <c r="E47" s="1792"/>
      <c r="F47" s="1789"/>
      <c r="G47" s="1750"/>
      <c r="H47" s="1750"/>
    </row>
    <row r="48" spans="1:8" ht="22.5" customHeight="1" thickBot="1">
      <c r="A48" s="1764" t="s">
        <v>464</v>
      </c>
      <c r="B48" s="1793"/>
      <c r="C48" s="1794"/>
      <c r="D48" s="1794"/>
      <c r="E48" s="1795"/>
      <c r="F48" s="1796"/>
      <c r="G48" s="1750"/>
      <c r="H48" s="1750"/>
    </row>
    <row r="49" spans="1:17" ht="21" customHeight="1" thickBot="1">
      <c r="A49" s="2979" t="s">
        <v>1516</v>
      </c>
      <c r="B49" s="2979"/>
      <c r="C49" s="2979"/>
      <c r="D49" s="2979"/>
      <c r="E49" s="2979"/>
      <c r="F49" s="2979"/>
      <c r="G49" s="1750"/>
      <c r="H49" s="1750"/>
    </row>
    <row r="50" spans="1:17" ht="21" customHeight="1">
      <c r="A50" s="1751" t="s">
        <v>933</v>
      </c>
      <c r="B50" s="1804"/>
      <c r="C50" s="1791"/>
      <c r="D50" s="1791"/>
      <c r="E50" s="1792"/>
      <c r="F50" s="1789"/>
      <c r="G50" s="1750"/>
      <c r="H50" s="1750"/>
      <c r="J50" s="1744">
        <v>740.5</v>
      </c>
    </row>
    <row r="51" spans="1:17" ht="21" customHeight="1" thickBot="1">
      <c r="A51" s="1764" t="s">
        <v>464</v>
      </c>
      <c r="B51" s="1787"/>
      <c r="C51" s="1794"/>
      <c r="D51" s="1794"/>
      <c r="E51" s="1795"/>
      <c r="F51" s="1777"/>
      <c r="G51" s="1767" t="e">
        <f>F50/F51</f>
        <v>#DIV/0!</v>
      </c>
      <c r="H51" s="1750"/>
      <c r="J51" s="1768">
        <v>0.23300000000000001</v>
      </c>
      <c r="K51" s="1769">
        <f>J50/J51</f>
        <v>3178.1115879828326</v>
      </c>
    </row>
    <row r="52" spans="1:17" ht="15.75" customHeight="1">
      <c r="A52" s="2980" t="s">
        <v>934</v>
      </c>
      <c r="B52" s="2980"/>
      <c r="C52" s="2980"/>
      <c r="D52" s="2980"/>
      <c r="E52" s="2980"/>
      <c r="F52" s="2980"/>
      <c r="G52" s="1750"/>
      <c r="H52" s="1750"/>
    </row>
    <row r="53" spans="1:17" ht="23.25" customHeight="1" thickBot="1">
      <c r="A53" s="2977" t="s">
        <v>1517</v>
      </c>
      <c r="B53" s="2977"/>
      <c r="C53" s="2977"/>
      <c r="D53" s="2977"/>
      <c r="E53" s="2977"/>
      <c r="F53" s="2977"/>
      <c r="G53" s="1750"/>
      <c r="H53" s="1750"/>
    </row>
    <row r="54" spans="1:17" ht="23.25" customHeight="1">
      <c r="A54" s="1751" t="s">
        <v>933</v>
      </c>
      <c r="B54" s="1804"/>
      <c r="C54" s="1782"/>
      <c r="D54" s="1782"/>
      <c r="E54" s="1783"/>
      <c r="F54" s="1789"/>
      <c r="G54" s="1750"/>
      <c r="H54" s="1750"/>
    </row>
    <row r="55" spans="1:17" ht="23.25" customHeight="1" thickBot="1">
      <c r="A55" s="1764" t="s">
        <v>464</v>
      </c>
      <c r="B55" s="1787"/>
      <c r="C55" s="1775"/>
      <c r="D55" s="1775"/>
      <c r="E55" s="1776"/>
      <c r="F55" s="1777"/>
      <c r="G55" s="1750"/>
      <c r="H55" s="1750"/>
    </row>
    <row r="56" spans="1:17" ht="19.5" customHeight="1" thickBot="1">
      <c r="A56" s="2978" t="s">
        <v>1518</v>
      </c>
      <c r="B56" s="2978"/>
      <c r="C56" s="2978"/>
      <c r="D56" s="2978"/>
      <c r="E56" s="2978"/>
      <c r="F56" s="2978"/>
      <c r="G56" s="1750"/>
      <c r="H56" s="1750"/>
    </row>
    <row r="57" spans="1:17" ht="19.5" customHeight="1">
      <c r="A57" s="1751" t="s">
        <v>933</v>
      </c>
      <c r="B57" s="1804"/>
      <c r="C57" s="1782"/>
      <c r="D57" s="1782"/>
      <c r="E57" s="1783"/>
      <c r="F57" s="1789"/>
      <c r="G57" s="1750"/>
      <c r="H57" s="1750"/>
    </row>
    <row r="58" spans="1:17" ht="19.5" customHeight="1" thickBot="1">
      <c r="A58" s="1764" t="s">
        <v>464</v>
      </c>
      <c r="B58" s="1787"/>
      <c r="C58" s="1775"/>
      <c r="D58" s="1775"/>
      <c r="E58" s="1776"/>
      <c r="F58" s="1777"/>
    </row>
    <row r="59" spans="1:17" ht="27.75" customHeight="1" thickBot="1">
      <c r="A59" s="2981" t="str">
        <f>'[13]1тсо кроме мрск НК'!A59:F59</f>
        <v>2. СОБСТВЕННОЕ ПОТРЕБЛЕНИЕ (в целом по юридическому лицу) **</v>
      </c>
      <c r="B59" s="2981"/>
      <c r="C59" s="2981"/>
      <c r="D59" s="2981"/>
      <c r="E59" s="2981"/>
      <c r="F59" s="2981"/>
      <c r="G59" s="1805" t="s">
        <v>1520</v>
      </c>
    </row>
    <row r="60" spans="1:17" ht="26.25" customHeight="1">
      <c r="A60" s="1806" t="s">
        <v>933</v>
      </c>
      <c r="B60" s="1752">
        <f>SUM(C60:F60)</f>
        <v>1416.13</v>
      </c>
      <c r="C60" s="2090"/>
      <c r="D60" s="2090"/>
      <c r="E60" s="1753">
        <f>'[13]1тсо кроме мрск НК'!E60+'[13]2тсо кроме мрск НК'!E60</f>
        <v>1416.13</v>
      </c>
      <c r="F60" s="2084"/>
      <c r="G60" s="1805" t="s">
        <v>1521</v>
      </c>
    </row>
    <row r="61" spans="1:17" ht="26.25" customHeight="1" thickBot="1">
      <c r="A61" s="1807" t="s">
        <v>464</v>
      </c>
      <c r="B61" s="2085">
        <f>SUM(C61:F61)</f>
        <v>0.16203000000000001</v>
      </c>
      <c r="C61" s="2082"/>
      <c r="D61" s="2082"/>
      <c r="E61" s="2082">
        <f>('[13]1тсо кроме мрск НК'!E61+'[13]2тсо кроме мрск НК'!E61)/2</f>
        <v>0.16203000000000001</v>
      </c>
      <c r="F61" s="2086"/>
      <c r="O61" s="1925">
        <f>E60/8740</f>
        <v>0.16202860411899314</v>
      </c>
      <c r="P61" s="1769">
        <f>E60/E61</f>
        <v>8739.9247053014878</v>
      </c>
      <c r="Q61" s="1744" t="s">
        <v>1745</v>
      </c>
    </row>
    <row r="62" spans="1:17" ht="28.5" customHeight="1">
      <c r="A62" s="1808"/>
      <c r="B62" s="1809"/>
      <c r="C62" s="1749"/>
      <c r="D62" s="1749"/>
      <c r="E62" s="2292"/>
      <c r="F62" s="2292"/>
    </row>
    <row r="63" spans="1:17" ht="17.25" customHeight="1">
      <c r="A63" s="3007" t="s">
        <v>1743</v>
      </c>
      <c r="B63" s="3007"/>
      <c r="C63" s="3007"/>
      <c r="D63" s="3007"/>
      <c r="E63" s="3007"/>
      <c r="F63" s="3007"/>
    </row>
    <row r="64" spans="1:17" ht="17.25" customHeight="1">
      <c r="A64" s="3003" t="s">
        <v>1744</v>
      </c>
      <c r="B64" s="3003"/>
      <c r="C64" s="3003"/>
      <c r="D64" s="3003"/>
      <c r="E64" s="3003"/>
      <c r="F64" s="3003"/>
    </row>
    <row r="65" spans="1:6">
      <c r="A65" s="2973" t="str">
        <f>'[13]1тсо кроме мрск НК'!A65:B70</f>
        <v>Руководитель энергосбытовой организации ООО "НК-Энергосбыт"</v>
      </c>
      <c r="B65" s="2973"/>
      <c r="D65" s="3004" t="str">
        <f>'[13]1тсо кроме мрск НК'!D65:F70</f>
        <v xml:space="preserve">Руководитель сетевой организации АО «РКЦ «Прогресс» </v>
      </c>
      <c r="E65" s="3004"/>
      <c r="F65" s="3004"/>
    </row>
    <row r="66" spans="1:6">
      <c r="A66" s="2973"/>
      <c r="B66" s="2973"/>
      <c r="D66" s="3004"/>
      <c r="E66" s="3004"/>
      <c r="F66" s="3004"/>
    </row>
    <row r="67" spans="1:6">
      <c r="A67" s="2973"/>
      <c r="B67" s="2973"/>
      <c r="D67" s="3004"/>
      <c r="E67" s="3004"/>
      <c r="F67" s="3004"/>
    </row>
    <row r="68" spans="1:6">
      <c r="A68" s="2973"/>
      <c r="B68" s="2973"/>
      <c r="D68" s="3004"/>
      <c r="E68" s="3004"/>
      <c r="F68" s="3004"/>
    </row>
    <row r="69" spans="1:6">
      <c r="A69" s="2973"/>
      <c r="B69" s="2973"/>
      <c r="D69" s="3004"/>
      <c r="E69" s="3004"/>
      <c r="F69" s="3004"/>
    </row>
    <row r="70" spans="1:6">
      <c r="A70" s="2973"/>
      <c r="B70" s="2973"/>
      <c r="D70" s="3004"/>
      <c r="E70" s="3004"/>
      <c r="F70" s="3004"/>
    </row>
    <row r="71" spans="1:6" ht="32.25" customHeight="1">
      <c r="A71" s="2973" t="s">
        <v>1525</v>
      </c>
      <c r="B71" s="2973"/>
      <c r="D71" s="2973" t="str">
        <f>'[13]1тсо кроме мрск НК'!D71:F71</f>
        <v xml:space="preserve"> _______________________________________________</v>
      </c>
      <c r="E71" s="2973"/>
      <c r="F71" s="2973"/>
    </row>
    <row r="72" spans="1:6">
      <c r="A72" s="3006" t="s">
        <v>1526</v>
      </c>
      <c r="B72" s="3006"/>
      <c r="D72" s="3006" t="s">
        <v>1526</v>
      </c>
      <c r="E72" s="3006"/>
      <c r="F72" s="3006"/>
    </row>
    <row r="73" spans="1:6">
      <c r="A73" s="3005" t="s">
        <v>944</v>
      </c>
      <c r="B73" s="3005"/>
      <c r="D73" s="3005" t="s">
        <v>944</v>
      </c>
      <c r="E73" s="3005"/>
      <c r="F73" s="3005"/>
    </row>
    <row r="75" spans="1:6" hidden="1"/>
    <row r="76" spans="1:6" hidden="1"/>
    <row r="77" spans="1:6" ht="41.25" customHeight="1">
      <c r="A77" s="2973" t="s">
        <v>1527</v>
      </c>
      <c r="B77" s="2973"/>
    </row>
    <row r="78" spans="1:6">
      <c r="D78" s="1812"/>
    </row>
  </sheetData>
  <sheetProtection selectLockedCells="1" selectUnlockedCells="1"/>
  <mergeCells count="40">
    <mergeCell ref="A1:F1"/>
    <mergeCell ref="A2:F2"/>
    <mergeCell ref="A3:F3"/>
    <mergeCell ref="A5:A6"/>
    <mergeCell ref="B5:B6"/>
    <mergeCell ref="C5:F5"/>
    <mergeCell ref="A32:F32"/>
    <mergeCell ref="A7:F7"/>
    <mergeCell ref="A8:F8"/>
    <mergeCell ref="A11:F11"/>
    <mergeCell ref="A12:F12"/>
    <mergeCell ref="A15:F15"/>
    <mergeCell ref="A16:F16"/>
    <mergeCell ref="A19:F19"/>
    <mergeCell ref="A22:F22"/>
    <mergeCell ref="A23:F23"/>
    <mergeCell ref="A26:F26"/>
    <mergeCell ref="A29:F29"/>
    <mergeCell ref="A63:F63"/>
    <mergeCell ref="A33:F33"/>
    <mergeCell ref="A36:F36"/>
    <mergeCell ref="A39:F39"/>
    <mergeCell ref="A42:F42"/>
    <mergeCell ref="A43:F43"/>
    <mergeCell ref="A46:F46"/>
    <mergeCell ref="A49:F49"/>
    <mergeCell ref="A52:F52"/>
    <mergeCell ref="A53:F53"/>
    <mergeCell ref="A56:F56"/>
    <mergeCell ref="A59:F59"/>
    <mergeCell ref="A73:B73"/>
    <mergeCell ref="D73:F73"/>
    <mergeCell ref="A77:B77"/>
    <mergeCell ref="A64:F64"/>
    <mergeCell ref="A65:B70"/>
    <mergeCell ref="D65:F70"/>
    <mergeCell ref="A71:B71"/>
    <mergeCell ref="D71:F71"/>
    <mergeCell ref="A72:B72"/>
    <mergeCell ref="D72:F72"/>
  </mergeCells>
  <printOptions horizontalCentered="1"/>
  <pageMargins left="0.78740157480314965" right="0.19685039370078741" top="0.51181102362204722" bottom="0.11811023622047245" header="0.51181102362204722" footer="3.937007874015748E-2"/>
  <pageSetup paperSize="9" scale="51" firstPageNumber="0" orientation="portrait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/>
  <dimension ref="A1:K19"/>
  <sheetViews>
    <sheetView workbookViewId="0">
      <selection activeCell="L19" sqref="L19"/>
    </sheetView>
  </sheetViews>
  <sheetFormatPr defaultColWidth="9.109375" defaultRowHeight="13.2"/>
  <cols>
    <col min="1" max="1" width="50" style="6" customWidth="1"/>
    <col min="2" max="2" width="13.5546875" style="6" customWidth="1"/>
    <col min="3" max="3" width="13.6640625" style="6" customWidth="1"/>
    <col min="4" max="4" width="21.44140625" style="6" customWidth="1"/>
    <col min="5" max="16384" width="9.109375" style="6"/>
  </cols>
  <sheetData>
    <row r="1" spans="1:11" ht="15.6">
      <c r="A1" s="57" t="s">
        <v>1426</v>
      </c>
      <c r="B1" s="58"/>
      <c r="C1" s="58"/>
      <c r="D1" s="58"/>
    </row>
    <row r="2" spans="1:11" ht="15.6">
      <c r="A2" s="57" t="s">
        <v>1423</v>
      </c>
      <c r="B2" s="58"/>
      <c r="C2" s="58"/>
      <c r="D2" s="58"/>
    </row>
    <row r="3" spans="1:11" ht="28.5" customHeight="1">
      <c r="A3" s="1630" t="s">
        <v>1427</v>
      </c>
      <c r="B3" s="1630"/>
      <c r="C3" s="1630"/>
      <c r="D3" s="1630"/>
    </row>
    <row r="4" spans="1:11" ht="15.6">
      <c r="A4" s="1630" t="s">
        <v>1424</v>
      </c>
      <c r="B4" s="1630"/>
      <c r="C4" s="1630"/>
      <c r="D4" s="1630"/>
    </row>
    <row r="6" spans="1:11">
      <c r="D6" s="6" t="s">
        <v>84</v>
      </c>
    </row>
    <row r="7" spans="1:11" ht="93.6">
      <c r="A7" s="68" t="s">
        <v>389</v>
      </c>
      <c r="B7" s="68" t="s">
        <v>1425</v>
      </c>
      <c r="C7" s="68" t="s">
        <v>1428</v>
      </c>
      <c r="D7" s="68" t="s">
        <v>1437</v>
      </c>
    </row>
    <row r="8" spans="1:11" s="17" customFormat="1" ht="15.6">
      <c r="A8" s="1631" t="s">
        <v>1439</v>
      </c>
      <c r="B8" s="1629"/>
      <c r="C8" s="1629"/>
      <c r="D8" s="1629"/>
    </row>
    <row r="9" spans="1:11" s="17" customFormat="1" ht="24" customHeight="1">
      <c r="A9" s="1629" t="s">
        <v>680</v>
      </c>
      <c r="B9" s="419">
        <f>'орг. Корр-ка НВВ 2014г.'!F24</f>
        <v>0</v>
      </c>
      <c r="C9" s="1632">
        <f>'Реестр всп.мат.2012пром.'!E27/1000</f>
        <v>476.51282000000003</v>
      </c>
      <c r="D9" s="1632">
        <f>C9-B9</f>
        <v>476.51282000000003</v>
      </c>
    </row>
    <row r="10" spans="1:11" s="17" customFormat="1" ht="63" customHeight="1">
      <c r="A10" s="1629" t="s">
        <v>1438</v>
      </c>
      <c r="B10" s="1629">
        <f>'орг. Корр-ка НВВ 2014г.'!E25</f>
        <v>334.8</v>
      </c>
      <c r="C10" s="1632">
        <f>'РСЭО факт за 2012г.'!F28</f>
        <v>1017.0608736362374</v>
      </c>
      <c r="D10" s="1632">
        <f>C10-B10</f>
        <v>682.26087363623742</v>
      </c>
    </row>
    <row r="11" spans="1:11" s="17" customFormat="1" ht="27.75" customHeight="1">
      <c r="A11" s="1629" t="s">
        <v>158</v>
      </c>
      <c r="B11" s="1629">
        <f>SUM(B9:B10)</f>
        <v>334.8</v>
      </c>
      <c r="C11" s="1632">
        <f>SUM(C9:C10)</f>
        <v>1493.5736936362373</v>
      </c>
      <c r="D11" s="1632">
        <f>SUM(D9:D10)</f>
        <v>1158.7736936362376</v>
      </c>
    </row>
    <row r="12" spans="1:11" s="17" customFormat="1" ht="15.6">
      <c r="G12" s="6"/>
    </row>
    <row r="13" spans="1:11" ht="29.25" customHeight="1">
      <c r="G13" s="24"/>
    </row>
    <row r="14" spans="1:11" s="671" customFormat="1" ht="23.25" customHeight="1">
      <c r="A14" s="731" t="s">
        <v>731</v>
      </c>
      <c r="B14" s="731"/>
      <c r="C14" s="732"/>
      <c r="D14" s="732"/>
      <c r="E14" s="732"/>
      <c r="F14" s="732"/>
      <c r="G14" s="6"/>
      <c r="H14" s="732"/>
      <c r="I14" s="732"/>
      <c r="J14" s="732"/>
      <c r="K14" s="732"/>
    </row>
    <row r="15" spans="1:11" s="671" customFormat="1" ht="15" customHeight="1">
      <c r="A15" s="731" t="s">
        <v>761</v>
      </c>
      <c r="B15" s="732"/>
      <c r="C15" s="732"/>
      <c r="D15" s="734" t="s">
        <v>733</v>
      </c>
      <c r="E15" s="733"/>
      <c r="F15" s="732"/>
      <c r="H15" s="732"/>
      <c r="I15" s="732"/>
      <c r="J15" s="732"/>
      <c r="K15" s="732"/>
    </row>
    <row r="16" spans="1:11">
      <c r="G16" s="24"/>
    </row>
    <row r="17" spans="4:7">
      <c r="G17" s="24"/>
    </row>
    <row r="19" spans="4:7">
      <c r="D19" s="6" t="s">
        <v>169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/>
  <dimension ref="A1:K87"/>
  <sheetViews>
    <sheetView zoomScaleNormal="100" zoomScaleSheetLayoutView="85" workbookViewId="0">
      <selection activeCell="K8" sqref="K8"/>
    </sheetView>
  </sheetViews>
  <sheetFormatPr defaultColWidth="9.109375" defaultRowHeight="13.2"/>
  <cols>
    <col min="1" max="1" width="10.6640625" style="1668" customWidth="1"/>
    <col min="2" max="2" width="56.33203125" style="1668" customWidth="1"/>
    <col min="3" max="3" width="11" style="1668" customWidth="1"/>
    <col min="4" max="4" width="15.109375" style="1668" customWidth="1"/>
    <col min="5" max="6" width="14.5546875" style="1668" customWidth="1"/>
    <col min="7" max="7" width="15.5546875" style="1668" customWidth="1"/>
    <col min="8" max="16384" width="9.109375" style="1668"/>
  </cols>
  <sheetData>
    <row r="1" spans="1:11">
      <c r="E1" s="1669"/>
      <c r="F1" s="1669"/>
      <c r="G1" s="1669" t="s">
        <v>1442</v>
      </c>
    </row>
    <row r="2" spans="1:11" ht="74.25" customHeight="1">
      <c r="C2" t="s">
        <v>1443</v>
      </c>
      <c r="D2"/>
      <c r="E2" s="3010"/>
      <c r="F2" s="3010"/>
    </row>
    <row r="3" spans="1:11" ht="53.25" customHeight="1">
      <c r="A3" s="3011" t="s">
        <v>1490</v>
      </c>
      <c r="B3" s="3011"/>
      <c r="C3" s="3011"/>
      <c r="D3" s="3011"/>
      <c r="E3" s="3011"/>
      <c r="F3" s="3011"/>
      <c r="H3" s="3012"/>
      <c r="I3" s="3012"/>
      <c r="J3" s="3012"/>
      <c r="K3" s="3012"/>
    </row>
    <row r="4" spans="1:11" ht="17.399999999999999">
      <c r="A4" s="3008"/>
      <c r="B4" s="3008"/>
      <c r="C4" s="3008"/>
      <c r="D4" s="3008"/>
      <c r="E4" s="3008"/>
      <c r="F4" s="3008"/>
      <c r="H4" s="3013"/>
      <c r="I4" s="3013"/>
      <c r="J4" s="3013"/>
      <c r="K4" s="3013"/>
    </row>
    <row r="5" spans="1:11" ht="17.399999999999999">
      <c r="A5" s="3009" t="s">
        <v>1444</v>
      </c>
      <c r="B5" s="3009"/>
      <c r="C5" s="3009"/>
      <c r="D5" s="3009"/>
      <c r="E5" s="3009"/>
      <c r="F5" s="3009"/>
      <c r="H5" s="3013"/>
      <c r="I5" s="2909"/>
      <c r="J5" s="2909"/>
      <c r="K5" s="2909"/>
    </row>
    <row r="6" spans="1:11" ht="15" customHeight="1">
      <c r="A6" s="3014" t="s">
        <v>1445</v>
      </c>
      <c r="B6" s="3014"/>
      <c r="C6" s="3014"/>
      <c r="D6" s="3014"/>
      <c r="E6" s="3014"/>
      <c r="F6" s="3014"/>
      <c r="H6" s="1671"/>
      <c r="I6" s="1671"/>
      <c r="J6" s="1671"/>
      <c r="K6" s="1671"/>
    </row>
    <row r="7" spans="1:11" ht="14.4">
      <c r="A7" s="1673"/>
      <c r="B7" s="1674" t="s">
        <v>1446</v>
      </c>
      <c r="C7" s="1673"/>
      <c r="D7" s="1673"/>
      <c r="E7" s="1675"/>
      <c r="F7" s="1675" t="s">
        <v>24</v>
      </c>
      <c r="G7" s="1675"/>
      <c r="H7" s="1671"/>
      <c r="I7" s="1671"/>
      <c r="J7" s="1671"/>
      <c r="K7" s="1671"/>
    </row>
    <row r="8" spans="1:11" ht="48.75" customHeight="1">
      <c r="A8" s="2909" t="s">
        <v>771</v>
      </c>
      <c r="B8" s="2909" t="s">
        <v>764</v>
      </c>
      <c r="C8" s="2909" t="s">
        <v>765</v>
      </c>
      <c r="D8" s="3015" t="s">
        <v>1425</v>
      </c>
      <c r="E8" s="3015" t="s">
        <v>1447</v>
      </c>
      <c r="F8" s="3015"/>
      <c r="G8" s="3015" t="s">
        <v>1491</v>
      </c>
    </row>
    <row r="9" spans="1:11" ht="54" customHeight="1">
      <c r="A9" s="2909"/>
      <c r="B9" s="2909"/>
      <c r="C9" s="2909"/>
      <c r="D9" s="3015"/>
      <c r="E9" s="1710" t="s">
        <v>1493</v>
      </c>
      <c r="F9" s="1710" t="s">
        <v>1494</v>
      </c>
      <c r="G9" s="3015"/>
    </row>
    <row r="10" spans="1:11" ht="15.75" customHeight="1">
      <c r="A10" s="1678">
        <v>1</v>
      </c>
      <c r="B10" s="1678">
        <v>2</v>
      </c>
      <c r="C10" s="1678">
        <v>3</v>
      </c>
      <c r="D10" s="1678">
        <v>4</v>
      </c>
      <c r="E10" s="1678">
        <v>5</v>
      </c>
      <c r="F10" s="1678">
        <v>6</v>
      </c>
      <c r="G10" s="1678" t="s">
        <v>1448</v>
      </c>
      <c r="I10" s="1670"/>
      <c r="J10" s="1670"/>
    </row>
    <row r="11" spans="1:11" ht="40.200000000000003">
      <c r="A11" s="1679">
        <v>1</v>
      </c>
      <c r="B11" s="1680" t="s">
        <v>1492</v>
      </c>
      <c r="C11" s="1681" t="s">
        <v>84</v>
      </c>
      <c r="D11" t="e">
        <f>D12+D38+D52</f>
        <v>#REF!</v>
      </c>
      <c r="E11">
        <f>E12+E38+E52</f>
        <v>102471.295</v>
      </c>
      <c r="F11" s="1695">
        <f>F12+F38+F52</f>
        <v>13274.454045069831</v>
      </c>
      <c r="G11" t="e">
        <f>F11/D11</f>
        <v>#REF!</v>
      </c>
      <c r="J11" s="1668" t="e">
        <f>'орг. Корр-ка НВВ 2014г.'!F71</f>
        <v>#REF!</v>
      </c>
    </row>
    <row r="12" spans="1:11" ht="13.8">
      <c r="A12" s="1680" t="s">
        <v>293</v>
      </c>
      <c r="B12" s="1680" t="s">
        <v>778</v>
      </c>
      <c r="C12" s="1683" t="s">
        <v>84</v>
      </c>
      <c r="D12" s="1683">
        <f>D13+D16+D19+D33</f>
        <v>1658.6654999999998</v>
      </c>
      <c r="E12" s="1633">
        <f>E13+E16+E19+E33</f>
        <v>95498.111999999994</v>
      </c>
      <c r="F12" s="1682">
        <f>F13+F16+F19+F33</f>
        <v>12309.150239572609</v>
      </c>
      <c r="G12" s="1633">
        <f t="shared" ref="G12:G19" si="0">F12/D12</f>
        <v>7.4211166986789143</v>
      </c>
      <c r="I12" s="1668">
        <f>'орг. Корр-ка НВВ 2014г.'!F45</f>
        <v>1658.6925399999998</v>
      </c>
    </row>
    <row r="13" spans="1:11">
      <c r="A13" s="1684" t="s">
        <v>94</v>
      </c>
      <c r="B13" s="1685" t="s">
        <v>779</v>
      </c>
      <c r="C13" s="1681" t="s">
        <v>84</v>
      </c>
      <c r="D13" s="1681">
        <f>'орг. Корр-ка НВВ 2014г.'!F25</f>
        <v>285.55799999999999</v>
      </c>
      <c r="E13" s="1633">
        <f>E14+E15</f>
        <v>52019</v>
      </c>
      <c r="F13" s="1682">
        <f>F14+F15</f>
        <v>7201.0355469173774</v>
      </c>
      <c r="G13" s="1633">
        <f t="shared" si="0"/>
        <v>25.217418342043921</v>
      </c>
    </row>
    <row r="14" spans="1:11">
      <c r="A14" s="1686" t="s">
        <v>780</v>
      </c>
      <c r="B14" s="1687" t="s">
        <v>781</v>
      </c>
      <c r="C14" s="1688" t="s">
        <v>84</v>
      </c>
      <c r="D14" s="1688"/>
      <c r="E14" s="1689">
        <v>14814</v>
      </c>
      <c r="F14" s="1709">
        <f>E14*($E$78+$E$77+$E$75)/$E$70</f>
        <v>2050.7149424639847</v>
      </c>
      <c r="G14" s="1689"/>
    </row>
    <row r="15" spans="1:11" ht="34.200000000000003">
      <c r="A15" s="1686" t="s">
        <v>782</v>
      </c>
      <c r="B15" s="1687" t="s">
        <v>783</v>
      </c>
      <c r="C15" s="1688" t="s">
        <v>84</v>
      </c>
      <c r="D15" s="1688">
        <v>285.60000000000002</v>
      </c>
      <c r="E15" s="1689">
        <v>37205</v>
      </c>
      <c r="F15" s="1709">
        <f>E15*($E$78+$E$77+$E$75)/$E$70</f>
        <v>5150.3206044533927</v>
      </c>
      <c r="G15" s="1689">
        <f t="shared" si="0"/>
        <v>18.033335449766781</v>
      </c>
    </row>
    <row r="16" spans="1:11" ht="17.25" customHeight="1">
      <c r="A16" s="1684" t="s">
        <v>95</v>
      </c>
      <c r="B16" s="1685" t="s">
        <v>784</v>
      </c>
      <c r="C16" s="1681" t="s">
        <v>84</v>
      </c>
      <c r="D16" s="1681">
        <f>'орг. Корр-ка НВВ 2014г.'!F26</f>
        <v>1262.0074999999999</v>
      </c>
      <c r="E16" s="1682">
        <v>33521.112000000001</v>
      </c>
      <c r="F16" s="1709">
        <f>E16*($E$78+$E$77+$E$75)/$E$70</f>
        <v>4640.3567751052242</v>
      </c>
      <c r="G16" s="1682">
        <f t="shared" si="0"/>
        <v>3.6769644991057695</v>
      </c>
    </row>
    <row r="17" spans="1:10" ht="17.25" customHeight="1">
      <c r="A17" s="1684" t="s">
        <v>1449</v>
      </c>
      <c r="B17" s="1685" t="s">
        <v>1450</v>
      </c>
      <c r="C17" s="1681" t="s">
        <v>859</v>
      </c>
      <c r="D17" s="1681">
        <v>13</v>
      </c>
      <c r="E17" s="1682">
        <v>111</v>
      </c>
      <c r="F17" s="1709">
        <f>E17*($E$78+$E$77+$E$75)/$E$70</f>
        <v>15.365826826886885</v>
      </c>
      <c r="G17" s="1682">
        <f t="shared" si="0"/>
        <v>1.1819866789912987</v>
      </c>
    </row>
    <row r="18" spans="1:10" ht="17.25" customHeight="1">
      <c r="A18" s="1684" t="s">
        <v>1451</v>
      </c>
      <c r="B18" s="1685" t="s">
        <v>1452</v>
      </c>
      <c r="C18" s="1681" t="s">
        <v>225</v>
      </c>
      <c r="D18" s="1681">
        <f>D16*1000/12/D17</f>
        <v>8089.791666666667</v>
      </c>
      <c r="E18" s="1682">
        <f>E16*1000/12/E17</f>
        <v>25166</v>
      </c>
      <c r="F18" s="1709">
        <f>F16*1000/12/F17</f>
        <v>25166</v>
      </c>
      <c r="G18" s="1682"/>
      <c r="I18" s="1668">
        <v>25166</v>
      </c>
      <c r="J18" s="1668">
        <v>3483.7513326615795</v>
      </c>
    </row>
    <row r="19" spans="1:10">
      <c r="A19" s="1684" t="s">
        <v>673</v>
      </c>
      <c r="B19" s="1685" t="s">
        <v>785</v>
      </c>
      <c r="C19" s="1681" t="s">
        <v>84</v>
      </c>
      <c r="D19" s="1681">
        <f>SUM(D20:D32)</f>
        <v>52.300000000000004</v>
      </c>
      <c r="E19" s="1633">
        <v>9958</v>
      </c>
      <c r="F19" s="1682">
        <f>F20+F21</f>
        <v>467.75791755000705</v>
      </c>
      <c r="G19" s="1633">
        <f t="shared" si="0"/>
        <v>8.943746033460938</v>
      </c>
    </row>
    <row r="20" spans="1:10">
      <c r="A20" s="1686" t="s">
        <v>786</v>
      </c>
      <c r="B20" s="1687" t="s">
        <v>787</v>
      </c>
      <c r="C20" s="1688" t="s">
        <v>84</v>
      </c>
      <c r="D20" s="1688"/>
      <c r="E20" s="1689">
        <v>3379</v>
      </c>
      <c r="F20" s="1709">
        <f>E20*($E$78+$E$77+$E$75)/$E$70</f>
        <v>467.75791755000705</v>
      </c>
      <c r="G20" s="1689"/>
    </row>
    <row r="21" spans="1:10">
      <c r="A21" s="1686" t="s">
        <v>789</v>
      </c>
      <c r="B21" s="1687" t="s">
        <v>790</v>
      </c>
      <c r="C21" s="1688" t="s">
        <v>84</v>
      </c>
      <c r="D21" s="1688"/>
      <c r="E21" s="1633">
        <v>6567</v>
      </c>
      <c r="F21" s="1689">
        <f>F22+F23+F24+F25+F26+F27</f>
        <v>0</v>
      </c>
      <c r="G21" s="1633"/>
    </row>
    <row r="22" spans="1:10">
      <c r="A22" s="1690" t="s">
        <v>791</v>
      </c>
      <c r="B22" s="1691" t="s">
        <v>792</v>
      </c>
      <c r="C22" s="1688" t="s">
        <v>84</v>
      </c>
      <c r="D22" s="1688"/>
      <c r="E22" s="1692"/>
      <c r="F22" s="1709">
        <f>E22*($E$78+$E$77+$E$75)/$E$70</f>
        <v>0</v>
      </c>
      <c r="G22" s="1692"/>
    </row>
    <row r="23" spans="1:10" ht="22.8">
      <c r="A23" s="1690" t="s">
        <v>793</v>
      </c>
      <c r="B23" s="1691" t="s">
        <v>794</v>
      </c>
      <c r="C23" s="1688" t="s">
        <v>84</v>
      </c>
      <c r="D23" s="1688"/>
      <c r="E23" s="1689"/>
      <c r="F23" s="1709">
        <f t="shared" ref="F23:F36" si="1">E23*($E$78+$E$77+$E$75)/$E$70</f>
        <v>0</v>
      </c>
      <c r="G23" s="1689"/>
    </row>
    <row r="24" spans="1:10">
      <c r="A24" s="1690" t="s">
        <v>795</v>
      </c>
      <c r="B24" s="1691" t="s">
        <v>796</v>
      </c>
      <c r="C24" s="1688" t="s">
        <v>84</v>
      </c>
      <c r="D24" s="1688"/>
      <c r="E24" s="1689"/>
      <c r="F24" s="1709">
        <f t="shared" si="1"/>
        <v>0</v>
      </c>
      <c r="G24" s="1689"/>
    </row>
    <row r="25" spans="1:10">
      <c r="A25" s="1690" t="s">
        <v>797</v>
      </c>
      <c r="B25" s="1691" t="s">
        <v>798</v>
      </c>
      <c r="C25" s="1688" t="s">
        <v>84</v>
      </c>
      <c r="D25" s="1688"/>
      <c r="E25" s="1689"/>
      <c r="F25" s="1709">
        <f t="shared" si="1"/>
        <v>0</v>
      </c>
      <c r="G25" s="1689"/>
    </row>
    <row r="26" spans="1:10">
      <c r="A26" s="1690" t="s">
        <v>799</v>
      </c>
      <c r="B26" s="1691" t="s">
        <v>800</v>
      </c>
      <c r="C26" s="1688" t="s">
        <v>84</v>
      </c>
      <c r="D26" s="1688"/>
      <c r="E26" s="1689"/>
      <c r="F26" s="1709">
        <f t="shared" si="1"/>
        <v>0</v>
      </c>
      <c r="G26" s="1689"/>
    </row>
    <row r="27" spans="1:10">
      <c r="A27" s="1690" t="s">
        <v>801</v>
      </c>
      <c r="B27" s="1693" t="s">
        <v>802</v>
      </c>
      <c r="C27" s="1688" t="s">
        <v>84</v>
      </c>
      <c r="D27" s="1688"/>
      <c r="E27" s="1689"/>
      <c r="F27" s="1709">
        <f t="shared" si="1"/>
        <v>0</v>
      </c>
      <c r="G27" s="1689"/>
    </row>
    <row r="28" spans="1:10">
      <c r="A28" s="1686" t="s">
        <v>804</v>
      </c>
      <c r="B28" s="1687" t="s">
        <v>805</v>
      </c>
      <c r="C28" s="1688" t="s">
        <v>84</v>
      </c>
      <c r="D28" s="1688"/>
      <c r="E28" s="1689"/>
      <c r="F28" s="1709">
        <f t="shared" si="1"/>
        <v>0</v>
      </c>
      <c r="G28" s="1689"/>
    </row>
    <row r="29" spans="1:10">
      <c r="A29" s="1686" t="s">
        <v>806</v>
      </c>
      <c r="B29" s="1687" t="s">
        <v>807</v>
      </c>
      <c r="C29" s="1688" t="s">
        <v>84</v>
      </c>
      <c r="D29" s="1688"/>
      <c r="E29" s="1689"/>
      <c r="F29" s="1709">
        <f t="shared" si="1"/>
        <v>0</v>
      </c>
      <c r="G29" s="1689"/>
    </row>
    <row r="30" spans="1:10" ht="28.5" customHeight="1">
      <c r="A30" s="1686" t="s">
        <v>808</v>
      </c>
      <c r="B30" s="1687" t="s">
        <v>809</v>
      </c>
      <c r="C30" s="1688" t="s">
        <v>84</v>
      </c>
      <c r="D30" s="1688"/>
      <c r="E30" s="1689"/>
      <c r="F30" s="1709">
        <f t="shared" si="1"/>
        <v>0</v>
      </c>
      <c r="G30" s="1689"/>
    </row>
    <row r="31" spans="1:10">
      <c r="A31" s="1686" t="s">
        <v>811</v>
      </c>
      <c r="B31" s="1687" t="s">
        <v>812</v>
      </c>
      <c r="C31" s="1688" t="s">
        <v>84</v>
      </c>
      <c r="D31" s="1688"/>
      <c r="E31" s="1709"/>
      <c r="F31" s="1709">
        <f>E31*($E$78+$E$77+$E$75)/$E$70</f>
        <v>0</v>
      </c>
      <c r="G31" s="1709"/>
    </row>
    <row r="32" spans="1:10">
      <c r="A32" s="1686" t="s">
        <v>813</v>
      </c>
      <c r="B32" s="1687" t="s">
        <v>1344</v>
      </c>
      <c r="C32" s="1688" t="s">
        <v>84</v>
      </c>
      <c r="D32" s="1688">
        <f>'орг. Корр-ка НВВ 2014г.'!F40</f>
        <v>52.300000000000004</v>
      </c>
      <c r="E32" s="1709"/>
      <c r="F32" s="1709">
        <f t="shared" si="1"/>
        <v>0</v>
      </c>
      <c r="G32" s="1709"/>
    </row>
    <row r="33" spans="1:9">
      <c r="A33" s="1684" t="s">
        <v>674</v>
      </c>
      <c r="B33" s="1694" t="s">
        <v>814</v>
      </c>
      <c r="C33" s="1681" t="s">
        <v>84</v>
      </c>
      <c r="D33" s="1681">
        <v>58.8</v>
      </c>
      <c r="E33" s="1633">
        <f>E34+E35+E36</f>
        <v>0</v>
      </c>
      <c r="F33" s="1695">
        <f>F34+F35+F36</f>
        <v>0</v>
      </c>
      <c r="G33" s="1633"/>
    </row>
    <row r="34" spans="1:9">
      <c r="A34" s="1686" t="s">
        <v>815</v>
      </c>
      <c r="B34" s="1687" t="s">
        <v>816</v>
      </c>
      <c r="C34" s="1688" t="s">
        <v>84</v>
      </c>
      <c r="D34" s="1688"/>
      <c r="E34" s="1709"/>
      <c r="F34" s="1709">
        <f t="shared" si="1"/>
        <v>0</v>
      </c>
      <c r="G34" s="1709"/>
    </row>
    <row r="35" spans="1:9">
      <c r="A35" s="1686" t="s">
        <v>817</v>
      </c>
      <c r="B35" s="1687" t="s">
        <v>818</v>
      </c>
      <c r="C35" s="1688" t="s">
        <v>84</v>
      </c>
      <c r="D35" s="1688">
        <f>'орг. Корр-ка НВВ 2014г.'!F43</f>
        <v>58.827040000000004</v>
      </c>
      <c r="E35" s="1709"/>
      <c r="F35" s="1709">
        <f t="shared" si="1"/>
        <v>0</v>
      </c>
      <c r="G35" s="1709"/>
    </row>
    <row r="36" spans="1:9" ht="18" customHeight="1">
      <c r="A36" s="1686" t="s">
        <v>819</v>
      </c>
      <c r="B36" s="1687" t="s">
        <v>820</v>
      </c>
      <c r="C36" s="1688" t="s">
        <v>84</v>
      </c>
      <c r="D36" s="1688"/>
      <c r="E36" s="1709"/>
      <c r="F36" s="1709">
        <f t="shared" si="1"/>
        <v>0</v>
      </c>
      <c r="G36" s="1709"/>
    </row>
    <row r="37" spans="1:9" ht="9.75" customHeight="1">
      <c r="A37" s="3016"/>
      <c r="B37" s="3016"/>
      <c r="C37" s="3016"/>
      <c r="D37" s="3016"/>
      <c r="E37" s="3016"/>
      <c r="F37" s="1696"/>
      <c r="G37"/>
    </row>
    <row r="38" spans="1:9" ht="13.8">
      <c r="A38" s="1680" t="s">
        <v>294</v>
      </c>
      <c r="B38" s="1680" t="s">
        <v>821</v>
      </c>
      <c r="C38" s="1680" t="s">
        <v>84</v>
      </c>
      <c r="D38" s="1680" t="e">
        <f>D39+D40+D41+D42+D43+D47+D48+D49+D50+D51</f>
        <v>#REF!</v>
      </c>
      <c r="E38" s="1633">
        <f>E39+E40+E41+E42+E43+E47+E48+E49+E50+E51+E52</f>
        <v>6973.183</v>
      </c>
      <c r="F38" s="1695">
        <f>F39+F40+F41+F42+F43+F47+F48+F49+F50+F51+F52</f>
        <v>965.30380549722133</v>
      </c>
      <c r="G38" s="1633" t="e">
        <f>F38/D38</f>
        <v>#REF!</v>
      </c>
      <c r="I38" s="1668" t="e">
        <f>'орг. Корр-ка НВВ 2014г.'!F62</f>
        <v>#REF!</v>
      </c>
    </row>
    <row r="39" spans="1:9">
      <c r="A39" s="1684" t="s">
        <v>677</v>
      </c>
      <c r="B39" s="1697" t="s">
        <v>822</v>
      </c>
      <c r="C39" s="1681" t="s">
        <v>84</v>
      </c>
      <c r="D39" s="1681"/>
      <c r="E39" s="1709"/>
      <c r="F39" s="1709">
        <f t="shared" ref="F39:F52" si="2">E39*($E$78+$E$77+$E$75)/$E$70</f>
        <v>0</v>
      </c>
      <c r="G39" s="1709"/>
    </row>
    <row r="40" spans="1:9">
      <c r="A40" s="1684" t="s">
        <v>678</v>
      </c>
      <c r="B40" s="1697" t="s">
        <v>823</v>
      </c>
      <c r="C40" s="1681" t="s">
        <v>84</v>
      </c>
      <c r="D40" s="1681"/>
      <c r="E40" s="1709"/>
      <c r="F40" s="1709">
        <f t="shared" si="2"/>
        <v>0</v>
      </c>
      <c r="G40" s="1709"/>
    </row>
    <row r="41" spans="1:9">
      <c r="A41" s="1684" t="s">
        <v>679</v>
      </c>
      <c r="B41" s="1697" t="s">
        <v>259</v>
      </c>
      <c r="C41" s="1681" t="s">
        <v>84</v>
      </c>
      <c r="D41" s="1681"/>
      <c r="E41" s="1709"/>
      <c r="F41" s="1709">
        <f t="shared" si="2"/>
        <v>0</v>
      </c>
      <c r="G41" s="1709"/>
    </row>
    <row r="42" spans="1:9">
      <c r="A42" s="1684" t="s">
        <v>824</v>
      </c>
      <c r="B42" s="1697" t="s">
        <v>825</v>
      </c>
      <c r="C42" s="1681" t="s">
        <v>84</v>
      </c>
      <c r="D42" s="1681"/>
      <c r="E42" s="1709"/>
      <c r="F42" s="1709">
        <f t="shared" si="2"/>
        <v>0</v>
      </c>
      <c r="G42" s="1709"/>
    </row>
    <row r="43" spans="1:9">
      <c r="A43" s="1684" t="s">
        <v>826</v>
      </c>
      <c r="B43" s="1698" t="s">
        <v>1453</v>
      </c>
      <c r="C43" s="1681" t="s">
        <v>84</v>
      </c>
      <c r="D43" s="1681" t="e">
        <f>SUM(D44:D46)</f>
        <v>#REF!</v>
      </c>
      <c r="E43" s="1633">
        <f>E44+E45+E46</f>
        <v>0</v>
      </c>
      <c r="F43" s="1709">
        <f t="shared" si="2"/>
        <v>0</v>
      </c>
      <c r="G43" s="1633"/>
    </row>
    <row r="44" spans="1:9">
      <c r="A44" s="1686" t="s">
        <v>828</v>
      </c>
      <c r="B44" s="1687" t="s">
        <v>829</v>
      </c>
      <c r="C44" s="1688" t="s">
        <v>84</v>
      </c>
      <c r="D44" s="1688"/>
      <c r="E44" s="1709"/>
      <c r="F44" s="1709">
        <f t="shared" si="2"/>
        <v>0</v>
      </c>
      <c r="G44" s="1709"/>
    </row>
    <row r="45" spans="1:9">
      <c r="A45" s="1686" t="s">
        <v>830</v>
      </c>
      <c r="B45" s="1687" t="s">
        <v>831</v>
      </c>
      <c r="C45" s="1688" t="s">
        <v>84</v>
      </c>
      <c r="D45" s="1688" t="e">
        <f>'орг. Корр-ка НВВ 2014г.'!F54</f>
        <v>#REF!</v>
      </c>
      <c r="E45" s="1633">
        <v>0</v>
      </c>
      <c r="F45" s="1709">
        <f t="shared" si="2"/>
        <v>0</v>
      </c>
      <c r="G45" s="1633"/>
    </row>
    <row r="46" spans="1:9">
      <c r="A46" s="1686" t="s">
        <v>832</v>
      </c>
      <c r="B46" s="1687" t="s">
        <v>833</v>
      </c>
      <c r="C46" s="1688" t="s">
        <v>84</v>
      </c>
      <c r="D46" s="1688"/>
      <c r="E46" s="1709"/>
      <c r="F46" s="1709">
        <f t="shared" si="2"/>
        <v>0</v>
      </c>
      <c r="G46" s="1709"/>
    </row>
    <row r="47" spans="1:9">
      <c r="A47" s="1684" t="s">
        <v>835</v>
      </c>
      <c r="B47" s="1697" t="s">
        <v>836</v>
      </c>
      <c r="C47" s="1681" t="s">
        <v>84</v>
      </c>
      <c r="D47" s="1681">
        <f>'орг. Корр-ка НВВ 2014г.'!F56</f>
        <v>450.5</v>
      </c>
      <c r="E47" s="1709">
        <v>4692.9560000000001</v>
      </c>
      <c r="F47" s="1709">
        <f t="shared" si="2"/>
        <v>649.64999281261055</v>
      </c>
      <c r="G47" s="1709">
        <f>F47/D47</f>
        <v>1.4420643569647293</v>
      </c>
    </row>
    <row r="48" spans="1:9">
      <c r="A48" s="1684" t="s">
        <v>837</v>
      </c>
      <c r="B48" s="1697" t="s">
        <v>838</v>
      </c>
      <c r="C48" s="1681" t="s">
        <v>84</v>
      </c>
      <c r="D48" s="1681">
        <f>'орг. Корр-ка НВВ 2014г.'!F60</f>
        <v>80.599999999999994</v>
      </c>
      <c r="E48" s="1709">
        <v>2280.2269999999999</v>
      </c>
      <c r="F48" s="1709">
        <f t="shared" si="2"/>
        <v>315.65381268461078</v>
      </c>
      <c r="G48" s="1709">
        <f>F48/D48</f>
        <v>3.9163004055162629</v>
      </c>
    </row>
    <row r="49" spans="1:7">
      <c r="A49" s="1684" t="s">
        <v>839</v>
      </c>
      <c r="B49" s="1697" t="s">
        <v>840</v>
      </c>
      <c r="C49" s="1681" t="s">
        <v>84</v>
      </c>
      <c r="D49" s="1681"/>
      <c r="E49" s="1709"/>
      <c r="F49" s="1709">
        <f t="shared" si="2"/>
        <v>0</v>
      </c>
      <c r="G49" s="1709"/>
    </row>
    <row r="50" spans="1:7">
      <c r="A50" s="1684" t="s">
        <v>841</v>
      </c>
      <c r="B50" s="1697" t="s">
        <v>842</v>
      </c>
      <c r="C50" s="1681" t="s">
        <v>84</v>
      </c>
      <c r="D50" s="1681"/>
      <c r="E50" s="1709"/>
      <c r="F50" s="1709">
        <f t="shared" si="2"/>
        <v>0</v>
      </c>
      <c r="G50" s="1709"/>
    </row>
    <row r="51" spans="1:7">
      <c r="A51" s="1684" t="s">
        <v>844</v>
      </c>
      <c r="B51" s="1697" t="s">
        <v>845</v>
      </c>
      <c r="C51" s="1681" t="s">
        <v>84</v>
      </c>
      <c r="D51" s="1681">
        <f>'орг. Корр-ка НВВ 2014г.'!F58</f>
        <v>14.706760000000001</v>
      </c>
      <c r="E51" s="1709"/>
      <c r="F51" s="1709">
        <f t="shared" si="2"/>
        <v>0</v>
      </c>
      <c r="G51" s="1709"/>
    </row>
    <row r="52" spans="1:7" ht="22.8">
      <c r="A52" s="1684" t="s">
        <v>846</v>
      </c>
      <c r="B52" s="1697" t="s">
        <v>1489</v>
      </c>
      <c r="C52" s="1681" t="s">
        <v>84</v>
      </c>
      <c r="D52" s="1681">
        <f>'орг. Корр-ка НВВ 2014г.'!F65</f>
        <v>515</v>
      </c>
      <c r="E52" s="1709"/>
      <c r="F52" s="1709">
        <f t="shared" si="2"/>
        <v>0</v>
      </c>
      <c r="G52" s="1709"/>
    </row>
    <row r="53" spans="1:7" ht="26.4">
      <c r="A53" s="1696">
        <v>2</v>
      </c>
      <c r="B53" s="1699" t="s">
        <v>1454</v>
      </c>
      <c r="C53" s="1681" t="s">
        <v>84</v>
      </c>
      <c r="D53" s="1681"/>
      <c r="E53" s="1700" t="s">
        <v>744</v>
      </c>
      <c r="F53" s="1709">
        <v>2259</v>
      </c>
      <c r="G53" s="1700"/>
    </row>
    <row r="54" spans="1:7" ht="14.4">
      <c r="A54" s="1701">
        <v>3</v>
      </c>
      <c r="B54" s="1702" t="s">
        <v>1455</v>
      </c>
      <c r="C54" s="1681" t="s">
        <v>84</v>
      </c>
      <c r="D54" s="1681"/>
      <c r="E54" s="1700" t="s">
        <v>744</v>
      </c>
      <c r="F54" s="1709">
        <f>SUM(F55:F56)</f>
        <v>12685.704</v>
      </c>
      <c r="G54" s="1700"/>
    </row>
    <row r="55" spans="1:7">
      <c r="A55" s="1703" t="s">
        <v>301</v>
      </c>
      <c r="B55" s="1704" t="s">
        <v>1232</v>
      </c>
      <c r="C55" s="1681" t="s">
        <v>84</v>
      </c>
      <c r="D55" s="1681"/>
      <c r="E55" s="1700" t="s">
        <v>744</v>
      </c>
      <c r="F55" s="1709">
        <v>8.6920000000000002</v>
      </c>
      <c r="G55" s="1700"/>
    </row>
    <row r="56" spans="1:7" ht="13.95" customHeight="1">
      <c r="A56" s="1703" t="s">
        <v>97</v>
      </c>
      <c r="B56" s="1704" t="s">
        <v>421</v>
      </c>
      <c r="C56" s="1681" t="s">
        <v>84</v>
      </c>
      <c r="D56" s="1681"/>
      <c r="E56" s="1700" t="s">
        <v>744</v>
      </c>
      <c r="F56" s="1709">
        <v>12677.012000000001</v>
      </c>
      <c r="G56" s="1700"/>
    </row>
    <row r="57" spans="1:7">
      <c r="A57" s="1701" t="s">
        <v>1456</v>
      </c>
      <c r="B57" s="1705"/>
      <c r="C57" s="1681" t="s">
        <v>84</v>
      </c>
      <c r="D57" s="1681"/>
      <c r="E57" s="1700" t="s">
        <v>744</v>
      </c>
      <c r="F57" s="1709"/>
      <c r="G57" s="1700"/>
    </row>
    <row r="58" spans="1:7" ht="14.4">
      <c r="A58" s="1696">
        <v>4</v>
      </c>
      <c r="B58" s="1706" t="s">
        <v>1457</v>
      </c>
      <c r="C58" s="1681" t="s">
        <v>84</v>
      </c>
      <c r="D58" s="1681"/>
      <c r="E58" s="1700" t="s">
        <v>744</v>
      </c>
      <c r="F58" s="1709">
        <f>SUM(F59:F60)</f>
        <v>4942.9339999999993</v>
      </c>
      <c r="G58" s="1700"/>
    </row>
    <row r="59" spans="1:7">
      <c r="A59" s="1696" t="s">
        <v>298</v>
      </c>
      <c r="B59" s="1704" t="s">
        <v>1458</v>
      </c>
      <c r="C59" s="1681" t="s">
        <v>84</v>
      </c>
      <c r="D59" s="1681"/>
      <c r="E59" s="1700" t="s">
        <v>744</v>
      </c>
      <c r="F59" s="1709">
        <v>569.83299999999997</v>
      </c>
      <c r="G59" s="1700"/>
    </row>
    <row r="60" spans="1:7">
      <c r="A60" s="1696" t="s">
        <v>299</v>
      </c>
      <c r="B60" s="1704" t="s">
        <v>447</v>
      </c>
      <c r="C60" s="1681" t="s">
        <v>84</v>
      </c>
      <c r="D60" s="1681"/>
      <c r="E60" s="1700" t="s">
        <v>744</v>
      </c>
      <c r="F60" s="1709">
        <v>4373.1009999999997</v>
      </c>
      <c r="G60" s="1700"/>
    </row>
    <row r="61" spans="1:7">
      <c r="A61" s="1696" t="s">
        <v>1459</v>
      </c>
      <c r="B61" s="1704"/>
      <c r="C61" s="1681" t="s">
        <v>84</v>
      </c>
      <c r="D61" s="1681"/>
      <c r="E61" s="1700" t="s">
        <v>744</v>
      </c>
      <c r="F61" s="1709"/>
      <c r="G61" s="1700"/>
    </row>
    <row r="62" spans="1:7" ht="14.4">
      <c r="A62" s="1696">
        <v>5</v>
      </c>
      <c r="B62" s="1702" t="s">
        <v>1460</v>
      </c>
      <c r="C62" s="1681" t="s">
        <v>84</v>
      </c>
      <c r="D62" s="1681"/>
      <c r="E62" s="1700" t="s">
        <v>744</v>
      </c>
      <c r="F62" s="1709">
        <v>15183.061</v>
      </c>
      <c r="G62" s="1700"/>
    </row>
    <row r="63" spans="1:7" ht="32.25" customHeight="1">
      <c r="A63" s="1696">
        <v>6</v>
      </c>
      <c r="B63" s="1702" t="s">
        <v>1461</v>
      </c>
      <c r="C63" s="1702" t="s">
        <v>769</v>
      </c>
      <c r="D63" s="1702"/>
      <c r="E63" s="1709">
        <v>1744.4970000000001</v>
      </c>
      <c r="F63" s="1709">
        <v>577.29700000000003</v>
      </c>
      <c r="G63" s="1709"/>
    </row>
    <row r="64" spans="1:7" ht="14.4">
      <c r="A64" s="1696">
        <v>7</v>
      </c>
      <c r="B64" s="1702" t="s">
        <v>1462</v>
      </c>
      <c r="C64" s="1702" t="s">
        <v>1463</v>
      </c>
      <c r="D64" s="1702"/>
      <c r="E64" s="1709">
        <v>88.87</v>
      </c>
      <c r="F64" s="1709">
        <v>16.079999999999998</v>
      </c>
      <c r="G64" s="1709"/>
    </row>
    <row r="65" spans="1:10" ht="14.4">
      <c r="A65" s="1696" t="s">
        <v>1464</v>
      </c>
      <c r="B65" s="1702" t="s">
        <v>1465</v>
      </c>
      <c r="C65" s="1702" t="s">
        <v>1463</v>
      </c>
      <c r="D65" s="1702"/>
      <c r="E65" s="3016">
        <v>88.87</v>
      </c>
      <c r="F65" s="3016"/>
      <c r="G65" s="1709"/>
    </row>
    <row r="66" spans="1:10" ht="14.4">
      <c r="A66" s="1696">
        <v>8</v>
      </c>
      <c r="B66" s="1707" t="s">
        <v>1466</v>
      </c>
      <c r="C66" s="1702" t="s">
        <v>1467</v>
      </c>
      <c r="D66" s="1702"/>
      <c r="E66" s="3016">
        <v>0</v>
      </c>
      <c r="F66" s="3016"/>
      <c r="G66" s="1709"/>
    </row>
    <row r="67" spans="1:10" ht="14.4">
      <c r="A67" s="1696">
        <v>9</v>
      </c>
      <c r="B67" s="1707" t="s">
        <v>1468</v>
      </c>
      <c r="C67" s="1702" t="s">
        <v>1467</v>
      </c>
      <c r="D67" s="1702"/>
      <c r="E67" s="3016">
        <v>0</v>
      </c>
      <c r="F67" s="3016"/>
      <c r="G67" s="1709"/>
    </row>
    <row r="68" spans="1:10" ht="14.4">
      <c r="A68" s="1696">
        <v>10</v>
      </c>
      <c r="B68" s="1707" t="s">
        <v>1469</v>
      </c>
      <c r="C68" s="1702" t="s">
        <v>87</v>
      </c>
      <c r="D68" s="1702"/>
      <c r="E68" s="3016">
        <v>70</v>
      </c>
      <c r="F68" s="3016"/>
      <c r="G68" s="1709"/>
    </row>
    <row r="69" spans="1:10" ht="14.4">
      <c r="A69" s="1696">
        <v>11</v>
      </c>
      <c r="B69" s="1707" t="s">
        <v>1470</v>
      </c>
      <c r="C69" s="1702" t="s">
        <v>87</v>
      </c>
      <c r="D69" s="1702"/>
      <c r="E69" s="3016">
        <v>100</v>
      </c>
      <c r="F69" s="3016"/>
      <c r="G69" s="1709"/>
    </row>
    <row r="70" spans="1:10" ht="14.4">
      <c r="A70" s="1696">
        <v>12</v>
      </c>
      <c r="B70" s="1702" t="s">
        <v>1168</v>
      </c>
      <c r="C70" s="1702" t="s">
        <v>1471</v>
      </c>
      <c r="D70" s="1702"/>
      <c r="E70" s="3016">
        <v>155503.47</v>
      </c>
      <c r="F70" s="3016"/>
      <c r="G70" s="1709"/>
    </row>
    <row r="71" spans="1:10" ht="14.4">
      <c r="A71" s="1696">
        <v>13</v>
      </c>
      <c r="B71" s="1702" t="s">
        <v>1472</v>
      </c>
      <c r="C71" s="1702" t="s">
        <v>1471</v>
      </c>
      <c r="D71" s="1702"/>
      <c r="E71" s="3016"/>
      <c r="F71" s="3016"/>
      <c r="G71" s="1709"/>
    </row>
    <row r="72" spans="1:10" ht="14.4">
      <c r="A72" s="1696">
        <v>14</v>
      </c>
      <c r="B72" s="1702" t="s">
        <v>1473</v>
      </c>
      <c r="C72" s="1702" t="s">
        <v>1471</v>
      </c>
      <c r="D72" s="1702"/>
      <c r="E72" s="3016">
        <v>1357.3589999999999</v>
      </c>
      <c r="F72" s="3016"/>
      <c r="G72" s="1709"/>
    </row>
    <row r="73" spans="1:10" ht="14.4">
      <c r="A73" s="1696"/>
      <c r="B73" s="1702" t="s">
        <v>100</v>
      </c>
      <c r="C73" s="1702"/>
      <c r="D73" s="1702"/>
      <c r="E73" s="3016"/>
      <c r="F73" s="3016"/>
      <c r="G73" s="1709"/>
    </row>
    <row r="74" spans="1:10" ht="14.4">
      <c r="A74" s="1708" t="s">
        <v>223</v>
      </c>
      <c r="B74" s="1702" t="s">
        <v>1474</v>
      </c>
      <c r="C74" s="1702" t="s">
        <v>1471</v>
      </c>
      <c r="D74" s="1702"/>
      <c r="E74" s="3016">
        <v>0</v>
      </c>
      <c r="F74" s="3016"/>
      <c r="G74" s="1709"/>
      <c r="J74" s="1676"/>
    </row>
    <row r="75" spans="1:10" ht="14.4">
      <c r="A75" s="1708" t="s">
        <v>1475</v>
      </c>
      <c r="B75" s="1702" t="s">
        <v>1476</v>
      </c>
      <c r="C75" s="1702" t="s">
        <v>1471</v>
      </c>
      <c r="D75" s="1702"/>
      <c r="E75" s="3016">
        <v>1357.3589999999999</v>
      </c>
      <c r="F75" s="3016"/>
      <c r="G75" s="1709"/>
      <c r="J75" s="1676"/>
    </row>
    <row r="76" spans="1:10" ht="14.4">
      <c r="A76" s="1696">
        <v>15</v>
      </c>
      <c r="B76" s="1702" t="s">
        <v>875</v>
      </c>
      <c r="C76" s="1702" t="s">
        <v>1471</v>
      </c>
      <c r="D76" s="1702"/>
      <c r="E76" s="3016">
        <v>133976.989</v>
      </c>
      <c r="F76" s="3016"/>
      <c r="G76" s="1709"/>
    </row>
    <row r="77" spans="1:10" ht="14.4">
      <c r="A77" s="1696">
        <v>16</v>
      </c>
      <c r="B77" s="1702" t="s">
        <v>1179</v>
      </c>
      <c r="C77" s="1702" t="s">
        <v>1471</v>
      </c>
      <c r="D77" s="1702"/>
      <c r="E77" s="3016">
        <v>11789.017</v>
      </c>
      <c r="F77" s="3016"/>
      <c r="G77" s="1709"/>
      <c r="I77" s="1668">
        <f>(E78+E77+E75)/E70</f>
        <v>0.13843087231429627</v>
      </c>
    </row>
    <row r="78" spans="1:10" ht="14.4">
      <c r="A78" s="1696">
        <v>17</v>
      </c>
      <c r="B78" s="1702" t="s">
        <v>1477</v>
      </c>
      <c r="C78" s="1702" t="s">
        <v>1471</v>
      </c>
      <c r="D78" s="1702"/>
      <c r="E78" s="3016">
        <v>8380.1049999999996</v>
      </c>
      <c r="F78" s="3016"/>
      <c r="G78" s="1709"/>
    </row>
    <row r="79" spans="1:10" ht="21" customHeight="1"/>
    <row r="80" spans="1:10" ht="21" customHeight="1">
      <c r="B80" s="3013" t="s">
        <v>1478</v>
      </c>
      <c r="C80" s="3013"/>
      <c r="D80" s="1672"/>
      <c r="E80" s="3010" t="s">
        <v>1479</v>
      </c>
      <c r="F80" s="3010"/>
    </row>
    <row r="81" spans="2:7" ht="21" customHeight="1">
      <c r="B81" s="3017" t="s">
        <v>1480</v>
      </c>
      <c r="C81" s="3017"/>
      <c r="D81" s="1677"/>
      <c r="E81" s="3017" t="s">
        <v>1481</v>
      </c>
      <c r="F81" s="3017"/>
    </row>
    <row r="82" spans="2:7" ht="21" customHeight="1">
      <c r="B82" s="3010" t="s">
        <v>1482</v>
      </c>
      <c r="C82" s="3010"/>
      <c r="D82" s="1670"/>
    </row>
    <row r="83" spans="2:7" ht="21" customHeight="1">
      <c r="B83" s="3010" t="s">
        <v>1483</v>
      </c>
      <c r="C83" s="3010"/>
      <c r="D83" s="1670"/>
      <c r="E83" s="1668" t="s">
        <v>1484</v>
      </c>
      <c r="F83" s="1670" t="s">
        <v>1484</v>
      </c>
      <c r="G83" s="1668" t="s">
        <v>1484</v>
      </c>
    </row>
    <row r="84" spans="2:7" ht="21" customHeight="1">
      <c r="B84" s="3017" t="s">
        <v>1485</v>
      </c>
      <c r="C84" s="3017"/>
      <c r="D84" s="1677"/>
      <c r="E84" s="1677" t="s">
        <v>1486</v>
      </c>
      <c r="F84" s="1677" t="s">
        <v>1481</v>
      </c>
      <c r="G84" s="1677" t="s">
        <v>1481</v>
      </c>
    </row>
    <row r="85" spans="2:7" ht="21" customHeight="1">
      <c r="B85" s="3010" t="s">
        <v>1487</v>
      </c>
      <c r="C85" s="3010"/>
      <c r="D85" s="1670"/>
      <c r="E85" s="1670"/>
      <c r="G85" s="1670"/>
    </row>
    <row r="86" spans="2:7" ht="21" customHeight="1">
      <c r="B86" s="3017" t="s">
        <v>1488</v>
      </c>
      <c r="C86" s="3017"/>
      <c r="D86" s="1677"/>
      <c r="E86" s="1677"/>
      <c r="G86" s="1677"/>
    </row>
    <row r="87" spans="2:7" ht="21" customHeight="1"/>
  </sheetData>
  <mergeCells count="38">
    <mergeCell ref="B82:C82"/>
    <mergeCell ref="B83:C83"/>
    <mergeCell ref="B84:C84"/>
    <mergeCell ref="B85:C85"/>
    <mergeCell ref="B86:C86"/>
    <mergeCell ref="E67:F67"/>
    <mergeCell ref="E68:F68"/>
    <mergeCell ref="E69:F69"/>
    <mergeCell ref="B81:C81"/>
    <mergeCell ref="E81:F81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B80:C80"/>
    <mergeCell ref="E80:F80"/>
    <mergeCell ref="G8:G9"/>
    <mergeCell ref="D8:D9"/>
    <mergeCell ref="A37:E37"/>
    <mergeCell ref="E65:F65"/>
    <mergeCell ref="E66:F66"/>
    <mergeCell ref="A6:F6"/>
    <mergeCell ref="A8:A9"/>
    <mergeCell ref="B8:B9"/>
    <mergeCell ref="C8:C9"/>
    <mergeCell ref="E8:F8"/>
    <mergeCell ref="A4:F4"/>
    <mergeCell ref="A5:F5"/>
    <mergeCell ref="E2:F2"/>
    <mergeCell ref="A3:F3"/>
    <mergeCell ref="H3:K3"/>
    <mergeCell ref="H4:K4"/>
    <mergeCell ref="H5:K5"/>
  </mergeCells>
  <printOptions horizontalCentered="1"/>
  <pageMargins left="0.78740157480314965" right="0.19685039370078741" top="0.19685039370078741" bottom="0.19685039370078741" header="0.51181102362204722" footer="0.19685039370078741"/>
  <pageSetup paperSize="9" scale="61" fitToHeight="2" orientation="portrait" r:id="rId1"/>
  <headerFooter alignWithMargins="0"/>
  <rowBreaks count="1" manualBreakCount="1">
    <brk id="78" max="6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rgb="FFCCFF66"/>
  </sheetPr>
  <dimension ref="A1:T96"/>
  <sheetViews>
    <sheetView zoomScaleNormal="100" workbookViewId="0">
      <pane ySplit="3" topLeftCell="A4" activePane="bottomLeft" state="frozenSplit"/>
      <selection activeCell="K8" sqref="K8"/>
      <selection pane="bottomLeft" activeCell="K8" sqref="K8"/>
    </sheetView>
  </sheetViews>
  <sheetFormatPr defaultColWidth="9.109375" defaultRowHeight="15.6"/>
  <cols>
    <col min="1" max="1" width="3.33203125" style="17" customWidth="1"/>
    <col min="2" max="2" width="23.88671875" style="17" customWidth="1"/>
    <col min="3" max="3" width="8.88671875" style="17" customWidth="1"/>
    <col min="4" max="4" width="16.5546875" style="17" customWidth="1"/>
    <col min="5" max="5" width="14" style="17" customWidth="1"/>
    <col min="6" max="6" width="9.6640625" style="17" customWidth="1"/>
    <col min="7" max="7" width="16.88671875" style="17" customWidth="1"/>
    <col min="8" max="8" width="16" style="17" customWidth="1"/>
    <col min="9" max="9" width="19.109375" style="124" customWidth="1"/>
    <col min="10" max="10" width="15.44140625" style="17" customWidth="1"/>
    <col min="11" max="11" width="11.33203125" style="17" bestFit="1" customWidth="1"/>
    <col min="12" max="16384" width="9.109375" style="17"/>
  </cols>
  <sheetData>
    <row r="1" spans="1:10" ht="47.4">
      <c r="A1" s="500" t="s">
        <v>914</v>
      </c>
      <c r="B1" s="50"/>
      <c r="C1" s="50"/>
      <c r="D1" s="50"/>
      <c r="E1" s="50"/>
      <c r="F1" s="50"/>
      <c r="G1" s="50"/>
      <c r="H1" s="50"/>
      <c r="I1" s="501"/>
      <c r="J1" s="38"/>
    </row>
    <row r="2" spans="1:10" ht="18">
      <c r="A2" s="45"/>
      <c r="B2" s="45"/>
      <c r="C2" s="45"/>
      <c r="D2" s="45"/>
      <c r="E2" s="502"/>
      <c r="F2" s="45"/>
      <c r="G2" s="754" t="s">
        <v>848</v>
      </c>
      <c r="H2" s="502"/>
      <c r="I2" s="503"/>
      <c r="J2" s="38"/>
    </row>
    <row r="3" spans="1:10" ht="44.4">
      <c r="A3" s="44" t="s">
        <v>229</v>
      </c>
      <c r="B3" s="504" t="s">
        <v>631</v>
      </c>
      <c r="C3" s="504" t="s">
        <v>632</v>
      </c>
      <c r="D3" s="504" t="s">
        <v>633</v>
      </c>
      <c r="E3" s="505" t="s">
        <v>634</v>
      </c>
      <c r="F3" s="504" t="s">
        <v>632</v>
      </c>
      <c r="G3" s="504" t="s">
        <v>246</v>
      </c>
      <c r="H3" s="505" t="s">
        <v>635</v>
      </c>
      <c r="I3" s="506"/>
      <c r="J3" s="47"/>
    </row>
    <row r="4" spans="1:10">
      <c r="A4" s="1100" t="s">
        <v>982</v>
      </c>
      <c r="B4" s="1101"/>
      <c r="C4" s="1101"/>
      <c r="D4" s="1101"/>
      <c r="E4" s="1101"/>
      <c r="F4" s="1101"/>
      <c r="G4" s="1101"/>
      <c r="H4" s="1102"/>
      <c r="I4" s="506"/>
      <c r="J4" s="47"/>
    </row>
    <row r="5" spans="1:10">
      <c r="A5" s="1097" t="s">
        <v>849</v>
      </c>
      <c r="B5" s="1098"/>
      <c r="C5" s="1098"/>
      <c r="D5" s="1098"/>
      <c r="E5" s="1098"/>
      <c r="F5" s="1098"/>
      <c r="G5" s="1098"/>
      <c r="H5" s="1099"/>
      <c r="I5" s="506"/>
      <c r="J5" s="47"/>
    </row>
    <row r="6" spans="1:10" s="512" customFormat="1" ht="20.25" customHeight="1">
      <c r="A6" s="507" t="s">
        <v>76</v>
      </c>
      <c r="B6" s="2901" t="s">
        <v>876</v>
      </c>
      <c r="C6" s="2870" t="s">
        <v>879</v>
      </c>
      <c r="D6" s="509" t="s">
        <v>877</v>
      </c>
      <c r="E6" s="517">
        <v>15336.65</v>
      </c>
      <c r="F6" s="870" t="s">
        <v>880</v>
      </c>
      <c r="G6" s="509" t="s">
        <v>878</v>
      </c>
      <c r="H6" s="517">
        <v>15336.65</v>
      </c>
      <c r="I6" s="520"/>
      <c r="J6" s="511"/>
    </row>
    <row r="7" spans="1:10" s="512" customFormat="1" ht="20.25" customHeight="1">
      <c r="A7" s="507" t="s">
        <v>77</v>
      </c>
      <c r="B7" s="2884"/>
      <c r="C7" s="2909"/>
      <c r="D7" s="509" t="s">
        <v>881</v>
      </c>
      <c r="E7" s="517">
        <v>6420.78</v>
      </c>
      <c r="F7" s="870"/>
      <c r="G7" s="509"/>
      <c r="H7" s="870"/>
      <c r="I7" s="510"/>
      <c r="J7" s="511"/>
    </row>
    <row r="8" spans="1:10" s="512" customFormat="1" ht="20.25" customHeight="1">
      <c r="A8" s="515" t="s">
        <v>78</v>
      </c>
      <c r="B8" s="2884"/>
      <c r="C8" s="2871"/>
      <c r="D8" s="509" t="s">
        <v>882</v>
      </c>
      <c r="E8" s="517">
        <v>2923.33</v>
      </c>
      <c r="F8" s="870" t="s">
        <v>880</v>
      </c>
      <c r="G8" s="509" t="s">
        <v>902</v>
      </c>
      <c r="H8" s="517">
        <v>2923.33</v>
      </c>
      <c r="I8" s="520">
        <f>SUM(E7:E8)</f>
        <v>9344.11</v>
      </c>
      <c r="J8" s="511"/>
    </row>
    <row r="9" spans="1:10" s="512" customFormat="1" ht="20.25" customHeight="1">
      <c r="A9" s="507" t="s">
        <v>79</v>
      </c>
      <c r="B9" s="2884"/>
      <c r="C9" s="2870" t="s">
        <v>883</v>
      </c>
      <c r="D9" s="509" t="s">
        <v>884</v>
      </c>
      <c r="E9" s="517">
        <v>15402.52</v>
      </c>
      <c r="F9" s="870" t="s">
        <v>903</v>
      </c>
      <c r="G9" s="509" t="s">
        <v>905</v>
      </c>
      <c r="H9" s="517">
        <v>104720.99</v>
      </c>
      <c r="I9" s="510"/>
      <c r="J9" s="511"/>
    </row>
    <row r="10" spans="1:10" s="512" customFormat="1" ht="20.25" customHeight="1">
      <c r="A10" s="515" t="s">
        <v>80</v>
      </c>
      <c r="B10" s="2884"/>
      <c r="C10" s="2909"/>
      <c r="D10" s="509" t="s">
        <v>885</v>
      </c>
      <c r="E10" s="517">
        <v>2552.58</v>
      </c>
      <c r="F10" s="870" t="s">
        <v>903</v>
      </c>
      <c r="G10" s="509" t="s">
        <v>904</v>
      </c>
      <c r="H10" s="517">
        <v>2552.58</v>
      </c>
      <c r="I10" s="520">
        <f>SUM(E9:E10)</f>
        <v>17955.099999999999</v>
      </c>
      <c r="J10" s="511"/>
    </row>
    <row r="11" spans="1:10" s="512" customFormat="1" ht="20.25" customHeight="1">
      <c r="A11" s="515" t="s">
        <v>81</v>
      </c>
      <c r="B11" s="2884"/>
      <c r="C11" s="2909"/>
      <c r="D11" s="509" t="s">
        <v>886</v>
      </c>
      <c r="E11" s="517">
        <v>126885.02</v>
      </c>
      <c r="F11" s="870"/>
      <c r="G11" s="509"/>
      <c r="H11" s="517"/>
      <c r="J11" s="511"/>
    </row>
    <row r="12" spans="1:10" s="512" customFormat="1" ht="20.25" customHeight="1">
      <c r="A12" s="515" t="s">
        <v>82</v>
      </c>
      <c r="B12" s="2884"/>
      <c r="C12" s="2909"/>
      <c r="D12" s="509" t="s">
        <v>887</v>
      </c>
      <c r="E12" s="518">
        <v>23553.91</v>
      </c>
      <c r="F12" s="870"/>
      <c r="G12" s="509"/>
      <c r="H12" s="517"/>
      <c r="I12" s="520">
        <f>SUM(E11:E12)</f>
        <v>150438.93</v>
      </c>
      <c r="J12" s="510"/>
    </row>
    <row r="13" spans="1:10" s="512" customFormat="1" ht="20.25" customHeight="1">
      <c r="A13" s="515" t="s">
        <v>83</v>
      </c>
      <c r="B13" s="2884"/>
      <c r="C13" s="2909"/>
      <c r="D13" s="509" t="s">
        <v>888</v>
      </c>
      <c r="E13" s="517">
        <v>82142.09</v>
      </c>
      <c r="F13" s="870" t="s">
        <v>903</v>
      </c>
      <c r="G13" s="509" t="s">
        <v>906</v>
      </c>
      <c r="H13" s="517">
        <v>150438.93</v>
      </c>
      <c r="I13" s="520"/>
      <c r="J13" s="511"/>
    </row>
    <row r="14" spans="1:10" s="512" customFormat="1" ht="20.25" customHeight="1">
      <c r="A14" s="515" t="s">
        <v>220</v>
      </c>
      <c r="B14" s="2884"/>
      <c r="C14" s="2871"/>
      <c r="D14" s="509" t="s">
        <v>889</v>
      </c>
      <c r="E14" s="517">
        <v>3736.47</v>
      </c>
      <c r="F14" s="870"/>
      <c r="G14" s="509"/>
      <c r="H14" s="517"/>
      <c r="I14" s="520"/>
      <c r="J14" s="511"/>
    </row>
    <row r="15" spans="1:10" s="512" customFormat="1" ht="20.25" customHeight="1">
      <c r="A15" s="515" t="s">
        <v>221</v>
      </c>
      <c r="B15" s="2884"/>
      <c r="C15" s="2870" t="s">
        <v>891</v>
      </c>
      <c r="D15" s="509" t="s">
        <v>890</v>
      </c>
      <c r="E15" s="518">
        <v>2541.7199999999998</v>
      </c>
      <c r="F15" s="870"/>
      <c r="G15" s="509"/>
      <c r="H15" s="517"/>
      <c r="I15" s="520">
        <f>SUM(E13:E15)</f>
        <v>88420.28</v>
      </c>
      <c r="J15" s="520">
        <f>H13-I15</f>
        <v>62018.649999999994</v>
      </c>
    </row>
    <row r="16" spans="1:10" s="512" customFormat="1" ht="20.25" customHeight="1">
      <c r="A16" s="507" t="s">
        <v>219</v>
      </c>
      <c r="B16" s="2884"/>
      <c r="C16" s="2909"/>
      <c r="D16" s="509" t="s">
        <v>892</v>
      </c>
      <c r="E16" s="518">
        <v>3818.13</v>
      </c>
      <c r="F16" s="870" t="s">
        <v>907</v>
      </c>
      <c r="G16" s="509" t="s">
        <v>908</v>
      </c>
      <c r="H16" s="518">
        <v>106235.18</v>
      </c>
      <c r="I16" s="520"/>
      <c r="J16" s="511"/>
    </row>
    <row r="17" spans="1:10" s="512" customFormat="1" ht="19.5" customHeight="1">
      <c r="A17" s="507" t="s">
        <v>222</v>
      </c>
      <c r="B17" s="2884"/>
      <c r="C17" s="2871"/>
      <c r="D17" s="509" t="s">
        <v>893</v>
      </c>
      <c r="E17" s="517">
        <v>18842.43</v>
      </c>
      <c r="F17" s="870" t="s">
        <v>907</v>
      </c>
      <c r="G17" s="509" t="s">
        <v>909</v>
      </c>
      <c r="H17" s="517">
        <v>78349.75</v>
      </c>
      <c r="I17" s="520"/>
      <c r="J17" s="511"/>
    </row>
    <row r="18" spans="1:10" s="512" customFormat="1" ht="19.5" customHeight="1">
      <c r="A18" s="507" t="s">
        <v>308</v>
      </c>
      <c r="B18" s="2884"/>
      <c r="C18" s="2870" t="s">
        <v>895</v>
      </c>
      <c r="D18" s="509" t="s">
        <v>894</v>
      </c>
      <c r="E18" s="517">
        <v>106235.18</v>
      </c>
      <c r="F18" s="870" t="s">
        <v>907</v>
      </c>
      <c r="G18" s="509" t="s">
        <v>910</v>
      </c>
      <c r="H18" s="517">
        <v>201596.97</v>
      </c>
      <c r="I18" s="520"/>
      <c r="J18" s="511"/>
    </row>
    <row r="19" spans="1:10" s="512" customFormat="1" ht="19.5" customHeight="1">
      <c r="A19" s="507" t="s">
        <v>157</v>
      </c>
      <c r="B19" s="2884"/>
      <c r="C19" s="2909"/>
      <c r="D19" s="509" t="s">
        <v>897</v>
      </c>
      <c r="E19" s="517">
        <v>5437.44</v>
      </c>
      <c r="F19" s="870"/>
      <c r="G19" s="509"/>
      <c r="H19" s="517"/>
      <c r="I19" s="520">
        <f>SUM(E18:E19)</f>
        <v>111672.62</v>
      </c>
      <c r="J19" s="511"/>
    </row>
    <row r="20" spans="1:10" s="512" customFormat="1" ht="19.5" customHeight="1">
      <c r="A20" s="507" t="s">
        <v>222</v>
      </c>
      <c r="B20" s="2884"/>
      <c r="C20" s="2871"/>
      <c r="D20" s="509" t="s">
        <v>896</v>
      </c>
      <c r="E20" s="517">
        <v>78349.75</v>
      </c>
      <c r="F20" s="870"/>
      <c r="G20" s="509"/>
      <c r="H20" s="517"/>
      <c r="I20" s="520"/>
      <c r="J20" s="511"/>
    </row>
    <row r="21" spans="1:10" s="512" customFormat="1" ht="19.5" customHeight="1">
      <c r="A21" s="507" t="s">
        <v>308</v>
      </c>
      <c r="B21" s="2884"/>
      <c r="C21" s="870" t="s">
        <v>898</v>
      </c>
      <c r="D21" s="509" t="s">
        <v>899</v>
      </c>
      <c r="E21" s="517">
        <v>17121.509999999998</v>
      </c>
      <c r="F21" s="870" t="s">
        <v>911</v>
      </c>
      <c r="G21" s="509" t="s">
        <v>912</v>
      </c>
      <c r="H21" s="517">
        <v>17121.509999999998</v>
      </c>
      <c r="I21" s="520"/>
      <c r="J21" s="511"/>
    </row>
    <row r="22" spans="1:10" s="512" customFormat="1" ht="19.5" customHeight="1">
      <c r="A22" s="507" t="s">
        <v>157</v>
      </c>
      <c r="B22" s="871" t="s">
        <v>900</v>
      </c>
      <c r="C22" s="870" t="s">
        <v>986</v>
      </c>
      <c r="D22" s="509" t="s">
        <v>901</v>
      </c>
      <c r="E22" s="517">
        <v>201596.97</v>
      </c>
      <c r="F22" s="870"/>
      <c r="G22" s="509"/>
      <c r="H22" s="517"/>
      <c r="I22" s="520">
        <f>SUM(E18:E22)</f>
        <v>408740.85</v>
      </c>
      <c r="J22" s="511"/>
    </row>
    <row r="23" spans="1:10" s="512" customFormat="1" ht="19.5" hidden="1" customHeight="1">
      <c r="A23" s="507"/>
      <c r="B23" s="496"/>
      <c r="C23" s="870"/>
      <c r="D23" s="509"/>
      <c r="E23" s="517"/>
      <c r="F23" s="870"/>
      <c r="G23" s="509"/>
      <c r="H23" s="517"/>
      <c r="I23" s="520">
        <f>SUM(E19:E23)</f>
        <v>302505.67</v>
      </c>
      <c r="J23" s="511"/>
    </row>
    <row r="24" spans="1:10" s="512" customFormat="1" ht="19.5" hidden="1" customHeight="1">
      <c r="A24" s="507"/>
      <c r="B24" s="496"/>
      <c r="C24" s="870"/>
      <c r="D24" s="509"/>
      <c r="E24" s="517"/>
      <c r="F24" s="870"/>
      <c r="G24" s="509"/>
      <c r="H24" s="517"/>
      <c r="I24" s="520">
        <f>SUM(E20:E24)</f>
        <v>297068.23</v>
      </c>
      <c r="J24" s="511"/>
    </row>
    <row r="25" spans="1:10" s="512" customFormat="1" ht="19.5" hidden="1" customHeight="1">
      <c r="A25" s="507"/>
      <c r="B25" s="496"/>
      <c r="C25" s="870"/>
      <c r="D25" s="509"/>
      <c r="E25" s="517"/>
      <c r="F25" s="870"/>
      <c r="G25" s="509"/>
      <c r="H25" s="517"/>
      <c r="I25" s="520">
        <f>SUM(E21:E25)</f>
        <v>218718.48</v>
      </c>
      <c r="J25" s="511"/>
    </row>
    <row r="26" spans="1:10">
      <c r="A26" s="514" t="s">
        <v>158</v>
      </c>
      <c r="B26" s="516"/>
      <c r="C26" s="508"/>
      <c r="D26" s="513"/>
      <c r="E26" s="519">
        <f>SUM(E6:E25)</f>
        <v>712896.48</v>
      </c>
      <c r="F26" s="521"/>
      <c r="G26" s="521"/>
      <c r="H26" s="519">
        <f>SUM(H6:H25)</f>
        <v>679275.89</v>
      </c>
      <c r="I26" s="506"/>
      <c r="J26" s="47">
        <v>679275.89</v>
      </c>
    </row>
    <row r="27" spans="1:10" ht="36" customHeight="1">
      <c r="A27" s="1130" t="s">
        <v>1043</v>
      </c>
      <c r="B27" s="522"/>
      <c r="C27" s="523"/>
      <c r="D27" s="524"/>
      <c r="E27" s="525"/>
      <c r="F27" s="42"/>
      <c r="G27" s="42"/>
      <c r="H27" s="525"/>
      <c r="I27" s="506"/>
      <c r="J27" s="47"/>
    </row>
    <row r="28" spans="1:10" s="94" customFormat="1" ht="18">
      <c r="A28" s="443" t="s">
        <v>1152</v>
      </c>
      <c r="J28" s="873" t="e">
        <f>#REF!/1.18/9*12/1000</f>
        <v>#REF!</v>
      </c>
    </row>
    <row r="29" spans="1:10" s="94" customFormat="1">
      <c r="C29" s="872" t="s">
        <v>1146</v>
      </c>
      <c r="D29" s="752">
        <f>$H$26/1000/1.18*1.079</f>
        <v>621.13447907627119</v>
      </c>
      <c r="E29" s="108" t="s">
        <v>868</v>
      </c>
      <c r="J29" s="873"/>
    </row>
    <row r="30" spans="1:10" s="94" customFormat="1" ht="18">
      <c r="A30" s="94" t="s">
        <v>913</v>
      </c>
      <c r="I30" s="167"/>
    </row>
    <row r="31" spans="1:10" s="94" customFormat="1">
      <c r="B31" s="872" t="s">
        <v>869</v>
      </c>
      <c r="C31" s="752">
        <f>D29*1.079</f>
        <v>670.20410292329655</v>
      </c>
      <c r="D31" s="108" t="s">
        <v>84</v>
      </c>
      <c r="I31" s="167"/>
    </row>
    <row r="32" spans="1:10" s="94" customFormat="1">
      <c r="B32" s="872"/>
      <c r="C32" s="1106"/>
      <c r="D32" s="108"/>
      <c r="I32" s="167"/>
    </row>
    <row r="33" spans="1:11" ht="44.4">
      <c r="A33" s="44" t="s">
        <v>229</v>
      </c>
      <c r="B33" s="504" t="s">
        <v>631</v>
      </c>
      <c r="C33" s="504" t="s">
        <v>632</v>
      </c>
      <c r="D33" s="504" t="s">
        <v>633</v>
      </c>
      <c r="E33" s="505" t="s">
        <v>634</v>
      </c>
      <c r="F33" s="504" t="s">
        <v>632</v>
      </c>
      <c r="G33" s="504" t="s">
        <v>246</v>
      </c>
      <c r="H33" s="505" t="s">
        <v>635</v>
      </c>
      <c r="I33" s="506"/>
      <c r="J33" s="47"/>
    </row>
    <row r="34" spans="1:11">
      <c r="A34" s="1100" t="s">
        <v>983</v>
      </c>
      <c r="B34" s="1101"/>
      <c r="C34" s="1101"/>
      <c r="D34" s="1101"/>
      <c r="E34" s="1101"/>
      <c r="F34" s="1101"/>
      <c r="G34" s="1101"/>
      <c r="H34" s="1102"/>
      <c r="I34" s="506"/>
      <c r="J34" s="47"/>
    </row>
    <row r="35" spans="1:11">
      <c r="A35" s="1097" t="s">
        <v>849</v>
      </c>
      <c r="B35" s="1098"/>
      <c r="C35" s="1098"/>
      <c r="D35" s="1098"/>
      <c r="E35" s="1098"/>
      <c r="F35" s="1098"/>
      <c r="G35" s="1098"/>
      <c r="H35" s="1099"/>
      <c r="I35" s="506"/>
      <c r="J35" s="47"/>
    </row>
    <row r="36" spans="1:11" s="512" customFormat="1" ht="19.5" customHeight="1">
      <c r="A36" s="507" t="s">
        <v>76</v>
      </c>
      <c r="B36" s="2882" t="s">
        <v>984</v>
      </c>
      <c r="C36" s="870" t="s">
        <v>985</v>
      </c>
      <c r="D36" s="509" t="s">
        <v>1040</v>
      </c>
      <c r="E36" s="517">
        <v>15642.8</v>
      </c>
      <c r="F36" s="870" t="s">
        <v>1062</v>
      </c>
      <c r="G36" s="509">
        <v>68</v>
      </c>
      <c r="H36" s="517">
        <v>37678.5</v>
      </c>
      <c r="I36" s="520"/>
      <c r="J36" s="511"/>
    </row>
    <row r="37" spans="1:11" s="512" customFormat="1" ht="19.5" customHeight="1">
      <c r="A37" s="507" t="s">
        <v>77</v>
      </c>
      <c r="B37" s="2883"/>
      <c r="C37" s="870" t="s">
        <v>987</v>
      </c>
      <c r="D37" s="509" t="s">
        <v>988</v>
      </c>
      <c r="E37" s="517">
        <v>20392.5</v>
      </c>
      <c r="F37" s="870" t="s">
        <v>1063</v>
      </c>
      <c r="G37" s="509">
        <v>98</v>
      </c>
      <c r="H37" s="517">
        <v>3180</v>
      </c>
      <c r="I37" s="520"/>
      <c r="J37" s="520">
        <f>SUM(E36:E37)</f>
        <v>36035.300000000003</v>
      </c>
      <c r="K37" s="520">
        <f>SUM(H36:H37)</f>
        <v>40858.5</v>
      </c>
    </row>
    <row r="38" spans="1:11" s="512" customFormat="1" ht="20.25" customHeight="1">
      <c r="A38" s="515" t="s">
        <v>78</v>
      </c>
      <c r="B38" s="2884"/>
      <c r="C38" s="870" t="s">
        <v>989</v>
      </c>
      <c r="D38" s="509" t="s">
        <v>990</v>
      </c>
      <c r="E38" s="517">
        <v>24197</v>
      </c>
      <c r="F38" s="870" t="s">
        <v>1065</v>
      </c>
      <c r="G38" s="509">
        <v>119</v>
      </c>
      <c r="H38" s="517">
        <v>24197</v>
      </c>
      <c r="I38" s="510"/>
      <c r="J38" s="511"/>
    </row>
    <row r="39" spans="1:11" s="512" customFormat="1" ht="20.25" customHeight="1">
      <c r="A39" s="507" t="s">
        <v>79</v>
      </c>
      <c r="B39" s="2884"/>
      <c r="C39" s="870" t="s">
        <v>991</v>
      </c>
      <c r="D39" s="509" t="s">
        <v>992</v>
      </c>
      <c r="E39" s="517">
        <v>6850</v>
      </c>
      <c r="F39" s="870" t="s">
        <v>1067</v>
      </c>
      <c r="G39" s="509">
        <v>231</v>
      </c>
      <c r="H39" s="517">
        <v>6850</v>
      </c>
      <c r="I39" s="520"/>
      <c r="J39" s="511"/>
    </row>
    <row r="40" spans="1:11" s="512" customFormat="1" ht="20.25" customHeight="1">
      <c r="A40" s="515" t="s">
        <v>80</v>
      </c>
      <c r="B40" s="2884"/>
      <c r="C40" s="870" t="s">
        <v>993</v>
      </c>
      <c r="D40" s="509" t="s">
        <v>994</v>
      </c>
      <c r="E40" s="517">
        <v>78415.88</v>
      </c>
      <c r="F40" s="2870" t="s">
        <v>1064</v>
      </c>
      <c r="G40" s="2872">
        <v>196</v>
      </c>
      <c r="H40" s="2874">
        <v>86085.88</v>
      </c>
      <c r="I40" s="510"/>
      <c r="J40" s="511"/>
    </row>
    <row r="41" spans="1:11" s="512" customFormat="1" ht="20.25" customHeight="1">
      <c r="A41" s="515" t="s">
        <v>81</v>
      </c>
      <c r="B41" s="2884"/>
      <c r="C41" s="870" t="s">
        <v>993</v>
      </c>
      <c r="D41" s="509" t="s">
        <v>995</v>
      </c>
      <c r="E41" s="517">
        <v>7670</v>
      </c>
      <c r="F41" s="2871"/>
      <c r="G41" s="2873"/>
      <c r="H41" s="2875"/>
      <c r="I41" s="520"/>
      <c r="J41" s="520">
        <f>SUM(E40:E41)</f>
        <v>86085.88</v>
      </c>
      <c r="K41" s="520">
        <f>SUM(H40)</f>
        <v>86085.88</v>
      </c>
    </row>
    <row r="42" spans="1:11" s="512" customFormat="1" ht="20.25" customHeight="1">
      <c r="A42" s="515" t="s">
        <v>82</v>
      </c>
      <c r="B42" s="2884"/>
      <c r="C42" s="1103" t="s">
        <v>996</v>
      </c>
      <c r="D42" s="1104" t="s">
        <v>997</v>
      </c>
      <c r="E42" s="1105">
        <v>1195</v>
      </c>
      <c r="F42" s="870"/>
      <c r="G42" s="509"/>
      <c r="H42" s="517"/>
      <c r="J42" s="520">
        <f>SUM(E36:E41)</f>
        <v>153168.18</v>
      </c>
      <c r="K42" s="520">
        <f>SUM(H36:H42)</f>
        <v>157991.38</v>
      </c>
    </row>
    <row r="43" spans="1:11" s="512" customFormat="1" ht="20.25" customHeight="1">
      <c r="A43" s="515" t="s">
        <v>83</v>
      </c>
      <c r="B43" s="2884"/>
      <c r="C43" s="870" t="s">
        <v>998</v>
      </c>
      <c r="D43" s="509" t="s">
        <v>999</v>
      </c>
      <c r="E43" s="517">
        <v>20725</v>
      </c>
      <c r="F43" s="870" t="s">
        <v>1066</v>
      </c>
      <c r="G43" s="509">
        <v>242</v>
      </c>
      <c r="H43" s="517">
        <v>20725</v>
      </c>
      <c r="I43" s="520"/>
      <c r="J43" s="510"/>
    </row>
    <row r="44" spans="1:11" s="512" customFormat="1" ht="20.25" customHeight="1">
      <c r="A44" s="515" t="s">
        <v>220</v>
      </c>
      <c r="B44" s="2884"/>
      <c r="C44" s="870" t="s">
        <v>1000</v>
      </c>
      <c r="D44" s="509" t="s">
        <v>1001</v>
      </c>
      <c r="E44" s="517">
        <v>12840</v>
      </c>
      <c r="F44" s="870" t="s">
        <v>1069</v>
      </c>
      <c r="G44" s="509">
        <v>276</v>
      </c>
      <c r="H44" s="517">
        <v>3005</v>
      </c>
      <c r="I44" s="520"/>
      <c r="J44" s="520">
        <f>E42+E44</f>
        <v>14035</v>
      </c>
      <c r="K44" s="520"/>
    </row>
    <row r="45" spans="1:11" s="512" customFormat="1" ht="20.25" customHeight="1">
      <c r="A45" s="515" t="s">
        <v>221</v>
      </c>
      <c r="B45" s="2884"/>
      <c r="C45" s="870" t="s">
        <v>1002</v>
      </c>
      <c r="D45" s="509" t="s">
        <v>1003</v>
      </c>
      <c r="E45" s="517">
        <v>4350</v>
      </c>
      <c r="F45" s="870" t="s">
        <v>1068</v>
      </c>
      <c r="G45" s="509">
        <v>336</v>
      </c>
      <c r="H45" s="517">
        <v>13045</v>
      </c>
      <c r="I45" s="520"/>
      <c r="J45" s="520">
        <f>E44+E45</f>
        <v>17190</v>
      </c>
      <c r="K45" s="520">
        <f>H44+H45</f>
        <v>16050</v>
      </c>
    </row>
    <row r="46" spans="1:11" s="512" customFormat="1" ht="20.25" customHeight="1">
      <c r="A46" s="507" t="s">
        <v>219</v>
      </c>
      <c r="B46" s="2884"/>
      <c r="C46" s="870" t="s">
        <v>883</v>
      </c>
      <c r="D46" s="509" t="s">
        <v>1004</v>
      </c>
      <c r="E46" s="517">
        <v>37232</v>
      </c>
      <c r="F46" s="870" t="s">
        <v>1071</v>
      </c>
      <c r="G46" s="509">
        <v>345</v>
      </c>
      <c r="H46" s="517">
        <v>990</v>
      </c>
      <c r="I46" s="520"/>
      <c r="J46" s="520"/>
    </row>
    <row r="47" spans="1:11" s="512" customFormat="1" ht="20.25" customHeight="1">
      <c r="A47" s="507" t="s">
        <v>222</v>
      </c>
      <c r="B47" s="2884"/>
      <c r="C47" s="870" t="s">
        <v>883</v>
      </c>
      <c r="D47" s="509" t="s">
        <v>1005</v>
      </c>
      <c r="E47" s="517">
        <v>7716</v>
      </c>
      <c r="F47" s="870" t="s">
        <v>1070</v>
      </c>
      <c r="G47" s="509">
        <v>394</v>
      </c>
      <c r="H47" s="517">
        <v>42545</v>
      </c>
      <c r="I47" s="520"/>
      <c r="J47" s="520">
        <f>E46+E47</f>
        <v>44948</v>
      </c>
      <c r="K47" s="520">
        <f>H47</f>
        <v>42545</v>
      </c>
    </row>
    <row r="48" spans="1:11" s="512" customFormat="1" ht="19.5" customHeight="1">
      <c r="A48" s="507" t="s">
        <v>308</v>
      </c>
      <c r="B48" s="2885"/>
      <c r="C48" s="870" t="s">
        <v>1006</v>
      </c>
      <c r="D48" s="509" t="s">
        <v>1007</v>
      </c>
      <c r="E48" s="517">
        <v>16914</v>
      </c>
      <c r="F48" s="870" t="s">
        <v>1072</v>
      </c>
      <c r="G48" s="509">
        <v>496</v>
      </c>
      <c r="H48" s="517">
        <v>41582</v>
      </c>
      <c r="I48" s="520"/>
      <c r="J48" s="511"/>
    </row>
    <row r="49" spans="1:11" s="512" customFormat="1" ht="19.5" customHeight="1">
      <c r="A49" s="507" t="s">
        <v>157</v>
      </c>
      <c r="B49" s="2868" t="s">
        <v>1008</v>
      </c>
      <c r="C49" s="870" t="s">
        <v>1006</v>
      </c>
      <c r="D49" s="509" t="s">
        <v>1009</v>
      </c>
      <c r="E49" s="517">
        <v>1213.49</v>
      </c>
      <c r="F49" s="2870" t="s">
        <v>1074</v>
      </c>
      <c r="G49" s="2872">
        <v>520</v>
      </c>
      <c r="H49" s="2874">
        <v>2815</v>
      </c>
      <c r="I49" s="520"/>
      <c r="J49" s="520">
        <f>E49+E50</f>
        <v>2333.0500000000002</v>
      </c>
      <c r="K49" s="520">
        <f>H49</f>
        <v>2815</v>
      </c>
    </row>
    <row r="50" spans="1:11" s="512" customFormat="1" ht="19.5" customHeight="1">
      <c r="A50" s="507" t="s">
        <v>224</v>
      </c>
      <c r="B50" s="2869"/>
      <c r="C50" s="870" t="s">
        <v>1006</v>
      </c>
      <c r="D50" s="509" t="s">
        <v>1009</v>
      </c>
      <c r="E50" s="517">
        <v>1119.56</v>
      </c>
      <c r="F50" s="2871"/>
      <c r="G50" s="2873"/>
      <c r="H50" s="2875"/>
      <c r="I50" s="520"/>
      <c r="J50" s="511"/>
    </row>
    <row r="51" spans="1:11" s="512" customFormat="1" ht="19.5" customHeight="1">
      <c r="A51" s="507" t="s">
        <v>1015</v>
      </c>
      <c r="B51" s="2868" t="s">
        <v>984</v>
      </c>
      <c r="C51" s="870" t="s">
        <v>891</v>
      </c>
      <c r="D51" s="509" t="s">
        <v>1010</v>
      </c>
      <c r="E51" s="517">
        <v>9400</v>
      </c>
      <c r="F51" s="870" t="s">
        <v>1073</v>
      </c>
      <c r="G51" s="509">
        <v>534</v>
      </c>
      <c r="H51" s="517">
        <v>15924</v>
      </c>
      <c r="I51" s="520"/>
      <c r="J51" s="511"/>
    </row>
    <row r="52" spans="1:11" s="512" customFormat="1" ht="19.5" customHeight="1">
      <c r="A52" s="507" t="s">
        <v>1016</v>
      </c>
      <c r="B52" s="2876"/>
      <c r="C52" s="870" t="s">
        <v>1011</v>
      </c>
      <c r="D52" s="509" t="s">
        <v>1012</v>
      </c>
      <c r="E52" s="517">
        <v>3485</v>
      </c>
      <c r="F52" s="870" t="s">
        <v>1075</v>
      </c>
      <c r="G52" s="509">
        <v>544</v>
      </c>
      <c r="H52" s="517">
        <v>990</v>
      </c>
      <c r="I52" s="520"/>
      <c r="J52" s="511"/>
    </row>
    <row r="53" spans="1:11" s="512" customFormat="1" ht="19.5" customHeight="1">
      <c r="A53" s="507" t="s">
        <v>1017</v>
      </c>
      <c r="B53" s="2876"/>
      <c r="C53" s="870" t="s">
        <v>1011</v>
      </c>
      <c r="D53" s="509" t="s">
        <v>1012</v>
      </c>
      <c r="E53" s="517">
        <v>4550</v>
      </c>
      <c r="F53" s="870" t="s">
        <v>1076</v>
      </c>
      <c r="G53" s="509">
        <v>722</v>
      </c>
      <c r="H53" s="517">
        <v>5626</v>
      </c>
      <c r="I53" s="520"/>
    </row>
    <row r="54" spans="1:11" s="512" customFormat="1" ht="19.5" customHeight="1">
      <c r="A54" s="507" t="s">
        <v>1018</v>
      </c>
      <c r="B54" s="2869"/>
      <c r="C54" s="870" t="s">
        <v>1013</v>
      </c>
      <c r="D54" s="509" t="s">
        <v>1014</v>
      </c>
      <c r="E54" s="517">
        <v>7735</v>
      </c>
      <c r="F54" s="870" t="s">
        <v>911</v>
      </c>
      <c r="G54" s="509">
        <v>860</v>
      </c>
      <c r="H54" s="517">
        <v>38620</v>
      </c>
      <c r="I54" s="520"/>
      <c r="J54" s="520">
        <f>SUM(E51:E54)</f>
        <v>25170</v>
      </c>
      <c r="K54" s="520">
        <f>SUM(H51:H54)</f>
        <v>61160</v>
      </c>
    </row>
    <row r="55" spans="1:11" s="512" customFormat="1" ht="19.5" customHeight="1">
      <c r="A55" s="507" t="s">
        <v>1019</v>
      </c>
      <c r="B55" s="871" t="s">
        <v>1008</v>
      </c>
      <c r="C55" s="870" t="s">
        <v>1026</v>
      </c>
      <c r="D55" s="509" t="s">
        <v>1027</v>
      </c>
      <c r="E55" s="517">
        <v>35413.81</v>
      </c>
      <c r="F55" s="870" t="s">
        <v>1077</v>
      </c>
      <c r="G55" s="509">
        <v>803</v>
      </c>
      <c r="H55" s="517">
        <v>35414</v>
      </c>
      <c r="I55" s="520"/>
      <c r="J55" s="511"/>
    </row>
    <row r="56" spans="1:11" s="512" customFormat="1" ht="19.5" customHeight="1">
      <c r="A56" s="507" t="s">
        <v>1020</v>
      </c>
      <c r="B56" s="871" t="s">
        <v>984</v>
      </c>
      <c r="C56" s="1103" t="s">
        <v>1028</v>
      </c>
      <c r="D56" s="1104" t="s">
        <v>1029</v>
      </c>
      <c r="E56" s="1105">
        <v>24225</v>
      </c>
      <c r="F56" s="870" t="s">
        <v>1078</v>
      </c>
      <c r="G56" s="509">
        <v>929</v>
      </c>
      <c r="H56" s="517">
        <v>24225</v>
      </c>
      <c r="I56" s="520"/>
      <c r="J56" s="511"/>
    </row>
    <row r="57" spans="1:11" s="512" customFormat="1" ht="19.5" customHeight="1">
      <c r="A57" s="507" t="s">
        <v>1021</v>
      </c>
      <c r="B57" s="871"/>
      <c r="C57" s="870" t="s">
        <v>1032</v>
      </c>
      <c r="D57" s="509" t="s">
        <v>1033</v>
      </c>
      <c r="E57" s="517">
        <v>47687</v>
      </c>
      <c r="F57" s="870" t="s">
        <v>1079</v>
      </c>
      <c r="G57" s="509">
        <v>947</v>
      </c>
      <c r="H57" s="517">
        <v>47687</v>
      </c>
      <c r="I57" s="520"/>
      <c r="J57" s="511"/>
    </row>
    <row r="58" spans="1:11" s="512" customFormat="1" ht="19.5" customHeight="1">
      <c r="A58" s="507" t="s">
        <v>1022</v>
      </c>
      <c r="B58" s="871"/>
      <c r="C58" s="870" t="s">
        <v>1030</v>
      </c>
      <c r="D58" s="509" t="s">
        <v>1031</v>
      </c>
      <c r="E58" s="517">
        <v>5740</v>
      </c>
      <c r="F58" s="870" t="s">
        <v>1080</v>
      </c>
      <c r="G58" s="509">
        <v>994</v>
      </c>
      <c r="H58" s="517">
        <v>13340</v>
      </c>
      <c r="I58" s="520"/>
      <c r="J58" s="511"/>
    </row>
    <row r="59" spans="1:11" s="512" customFormat="1" ht="19.5" customHeight="1">
      <c r="A59" s="507" t="s">
        <v>1023</v>
      </c>
      <c r="B59" s="871"/>
      <c r="C59" s="870" t="s">
        <v>1036</v>
      </c>
      <c r="D59" s="509" t="s">
        <v>1034</v>
      </c>
      <c r="E59" s="517">
        <v>5500</v>
      </c>
      <c r="F59" s="870"/>
      <c r="G59" s="509"/>
      <c r="H59" s="517"/>
      <c r="I59" s="520"/>
      <c r="J59" s="520">
        <f>SUM(E58:E59)</f>
        <v>11240</v>
      </c>
    </row>
    <row r="60" spans="1:11" s="512" customFormat="1" ht="19.5" customHeight="1">
      <c r="A60" s="507" t="s">
        <v>1024</v>
      </c>
      <c r="B60" s="871"/>
      <c r="C60" s="870" t="s">
        <v>1035</v>
      </c>
      <c r="D60" s="509" t="s">
        <v>1037</v>
      </c>
      <c r="E60" s="517">
        <v>7600</v>
      </c>
      <c r="F60" s="870"/>
      <c r="G60" s="509"/>
      <c r="H60" s="517"/>
      <c r="I60" s="520"/>
      <c r="J60" s="511"/>
    </row>
    <row r="61" spans="1:11" s="512" customFormat="1" ht="19.5" customHeight="1">
      <c r="A61" s="507" t="s">
        <v>1025</v>
      </c>
      <c r="B61" s="871"/>
      <c r="C61" s="870" t="s">
        <v>1035</v>
      </c>
      <c r="D61" s="509" t="s">
        <v>1038</v>
      </c>
      <c r="E61" s="517">
        <v>3250</v>
      </c>
      <c r="F61" s="870" t="s">
        <v>1081</v>
      </c>
      <c r="G61" s="509">
        <v>1026</v>
      </c>
      <c r="H61" s="517">
        <v>3250</v>
      </c>
      <c r="I61" s="520"/>
      <c r="J61" s="511"/>
    </row>
    <row r="62" spans="1:11" s="512" customFormat="1" ht="21" customHeight="1">
      <c r="A62" s="507" t="s">
        <v>1041</v>
      </c>
      <c r="B62" s="871"/>
      <c r="C62" s="870" t="s">
        <v>1039</v>
      </c>
      <c r="D62" s="509" t="s">
        <v>1042</v>
      </c>
      <c r="E62" s="517">
        <v>21291</v>
      </c>
      <c r="F62" s="870"/>
      <c r="G62" s="509"/>
      <c r="H62" s="517"/>
      <c r="I62" s="520"/>
      <c r="J62" s="511"/>
    </row>
    <row r="63" spans="1:11" s="512" customFormat="1" ht="19.5" hidden="1" customHeight="1">
      <c r="A63" s="507"/>
      <c r="B63" s="496"/>
      <c r="C63" s="870"/>
      <c r="D63" s="509"/>
      <c r="E63" s="517"/>
      <c r="F63" s="870"/>
      <c r="G63" s="509"/>
      <c r="H63" s="517"/>
      <c r="I63" s="520"/>
      <c r="J63" s="511"/>
    </row>
    <row r="64" spans="1:11" s="512" customFormat="1" ht="19.5" hidden="1" customHeight="1">
      <c r="A64" s="507"/>
      <c r="B64" s="496"/>
      <c r="C64" s="870"/>
      <c r="D64" s="509"/>
      <c r="E64" s="517"/>
      <c r="F64" s="870"/>
      <c r="G64" s="509"/>
      <c r="H64" s="517"/>
      <c r="I64" s="520"/>
      <c r="J64" s="511"/>
    </row>
    <row r="65" spans="1:20" s="512" customFormat="1" ht="19.5" hidden="1" customHeight="1">
      <c r="A65" s="507"/>
      <c r="B65" s="496"/>
      <c r="C65" s="870"/>
      <c r="D65" s="509"/>
      <c r="E65" s="517"/>
      <c r="F65" s="870"/>
      <c r="G65" s="509"/>
      <c r="H65" s="517"/>
      <c r="I65" s="520"/>
      <c r="J65" s="511"/>
    </row>
    <row r="66" spans="1:20" s="512" customFormat="1" ht="19.5" hidden="1" customHeight="1">
      <c r="A66" s="507"/>
      <c r="B66" s="496"/>
      <c r="C66" s="870"/>
      <c r="D66" s="509"/>
      <c r="E66" s="517"/>
      <c r="F66" s="870"/>
      <c r="G66" s="509"/>
      <c r="H66" s="517"/>
      <c r="I66" s="520"/>
      <c r="J66" s="511"/>
    </row>
    <row r="67" spans="1:20" s="512" customFormat="1" ht="19.5" hidden="1" customHeight="1">
      <c r="A67" s="507"/>
      <c r="B67" s="496"/>
      <c r="C67" s="870"/>
      <c r="D67" s="509"/>
      <c r="E67" s="517"/>
      <c r="F67" s="870"/>
      <c r="G67" s="509"/>
      <c r="H67" s="517"/>
      <c r="I67" s="520"/>
      <c r="J67" s="511"/>
    </row>
    <row r="68" spans="1:20" s="512" customFormat="1" ht="19.5" hidden="1" customHeight="1">
      <c r="A68" s="507"/>
      <c r="B68" s="496"/>
      <c r="C68" s="870"/>
      <c r="D68" s="509"/>
      <c r="E68" s="517"/>
      <c r="F68" s="870"/>
      <c r="G68" s="509"/>
      <c r="H68" s="517"/>
      <c r="I68" s="520"/>
      <c r="J68" s="511"/>
    </row>
    <row r="69" spans="1:20" s="512" customFormat="1" ht="19.5" hidden="1" customHeight="1">
      <c r="A69" s="507"/>
      <c r="B69" s="496"/>
      <c r="C69" s="870"/>
      <c r="D69" s="509"/>
      <c r="E69" s="517"/>
      <c r="F69" s="870"/>
      <c r="G69" s="509"/>
      <c r="H69" s="517"/>
      <c r="I69" s="520"/>
      <c r="J69" s="511"/>
    </row>
    <row r="70" spans="1:20" s="512" customFormat="1" ht="19.5" hidden="1" customHeight="1">
      <c r="A70" s="507"/>
      <c r="B70" s="496"/>
      <c r="C70" s="870"/>
      <c r="D70" s="509"/>
      <c r="E70" s="517"/>
      <c r="F70" s="870"/>
      <c r="G70" s="509"/>
      <c r="H70" s="517"/>
      <c r="I70" s="520"/>
      <c r="J70" s="511"/>
    </row>
    <row r="71" spans="1:20" s="512" customFormat="1" ht="19.5" hidden="1" customHeight="1">
      <c r="A71" s="507"/>
      <c r="B71" s="496"/>
      <c r="C71" s="870"/>
      <c r="D71" s="509"/>
      <c r="E71" s="517"/>
      <c r="F71" s="870"/>
      <c r="G71" s="509"/>
      <c r="H71" s="517"/>
      <c r="I71" s="520"/>
      <c r="J71" s="511"/>
    </row>
    <row r="72" spans="1:20" s="512" customFormat="1" ht="19.5" hidden="1" customHeight="1">
      <c r="A72" s="507"/>
      <c r="B72" s="496"/>
      <c r="C72" s="870"/>
      <c r="D72" s="509"/>
      <c r="E72" s="517"/>
      <c r="F72" s="870"/>
      <c r="G72" s="509"/>
      <c r="H72" s="517"/>
      <c r="I72" s="520"/>
      <c r="J72" s="511"/>
    </row>
    <row r="73" spans="1:20" s="512" customFormat="1" ht="19.5" hidden="1" customHeight="1">
      <c r="A73" s="507"/>
      <c r="B73" s="496"/>
      <c r="C73" s="870"/>
      <c r="D73" s="509"/>
      <c r="E73" s="517"/>
      <c r="F73" s="870"/>
      <c r="G73" s="509"/>
      <c r="H73" s="517"/>
      <c r="I73" s="520"/>
      <c r="J73" s="511"/>
    </row>
    <row r="74" spans="1:20" s="512" customFormat="1" ht="19.5" hidden="1" customHeight="1">
      <c r="A74" s="507"/>
      <c r="B74" s="496"/>
      <c r="C74" s="870"/>
      <c r="D74" s="509"/>
      <c r="E74" s="517"/>
      <c r="F74" s="870"/>
      <c r="G74" s="509"/>
      <c r="H74" s="517"/>
      <c r="I74" s="520"/>
      <c r="J74" s="511"/>
    </row>
    <row r="75" spans="1:20">
      <c r="A75" s="514" t="s">
        <v>158</v>
      </c>
      <c r="B75" s="516"/>
      <c r="C75" s="508"/>
      <c r="D75" s="513"/>
      <c r="E75" s="519">
        <f>SUM(E36:E74)</f>
        <v>432350.04</v>
      </c>
      <c r="F75" s="521"/>
      <c r="G75" s="521"/>
      <c r="H75" s="519">
        <f>SUM(H36:H74)</f>
        <v>467774.38</v>
      </c>
      <c r="I75" s="506"/>
      <c r="J75" s="47"/>
    </row>
    <row r="76" spans="1:20" ht="36" customHeight="1">
      <c r="A76" s="1107" t="s">
        <v>1044</v>
      </c>
      <c r="B76" s="522"/>
      <c r="C76" s="523"/>
      <c r="D76" s="524"/>
      <c r="E76" s="525"/>
      <c r="F76" s="42"/>
      <c r="G76" s="42"/>
      <c r="H76" s="525"/>
      <c r="I76" s="506"/>
      <c r="J76" s="47"/>
    </row>
    <row r="77" spans="1:20" s="94" customFormat="1">
      <c r="A77" s="443" t="s">
        <v>1151</v>
      </c>
      <c r="J77" s="873">
        <f>H26/1.18/9*12/1000</f>
        <v>767.54337853107359</v>
      </c>
    </row>
    <row r="78" spans="1:20">
      <c r="A78" s="42" t="s">
        <v>1052</v>
      </c>
      <c r="B78" s="42"/>
      <c r="C78" s="42"/>
      <c r="D78" s="22"/>
      <c r="E78" s="749"/>
      <c r="F78" s="749"/>
      <c r="G78" s="749"/>
      <c r="H78" s="749"/>
      <c r="I78" s="749"/>
      <c r="J78" s="750"/>
      <c r="K78" s="749"/>
      <c r="L78" s="749"/>
      <c r="M78" s="749"/>
      <c r="N78" s="749"/>
      <c r="S78" s="79"/>
      <c r="T78" s="527"/>
    </row>
    <row r="79" spans="1:20">
      <c r="A79" s="42"/>
      <c r="B79" s="1109" t="s">
        <v>1045</v>
      </c>
      <c r="D79" s="237" t="s">
        <v>873</v>
      </c>
      <c r="E79" s="817" t="s">
        <v>760</v>
      </c>
      <c r="F79" s="42"/>
      <c r="G79" s="42"/>
      <c r="H79" s="22"/>
      <c r="I79" s="17"/>
      <c r="J79" s="750"/>
      <c r="K79" s="749"/>
      <c r="L79" s="22"/>
      <c r="M79" s="749"/>
      <c r="N79" s="749"/>
      <c r="P79" s="79"/>
      <c r="S79" s="80"/>
      <c r="T79" s="527"/>
    </row>
    <row r="80" spans="1:20">
      <c r="C80" s="52" t="s">
        <v>1047</v>
      </c>
      <c r="D80" s="17">
        <f>SUM(D82:D83)</f>
        <v>588.05799999999999</v>
      </c>
      <c r="E80" s="875">
        <f>D80/$D$85*100</f>
        <v>22.232329120949331</v>
      </c>
      <c r="F80" s="52"/>
      <c r="I80" s="17"/>
      <c r="J80" s="193">
        <f>'П1.30 - 07.06.11г.'!C76</f>
        <v>6486.5829999999987</v>
      </c>
      <c r="K80" s="6"/>
      <c r="L80" s="6"/>
      <c r="M80" s="6"/>
      <c r="N80" s="6"/>
      <c r="S80" s="815" t="e">
        <f>D83/$D$24*100</f>
        <v>#DIV/0!</v>
      </c>
      <c r="T80" s="527"/>
    </row>
    <row r="81" spans="1:20">
      <c r="B81" s="55"/>
      <c r="C81" s="55" t="s">
        <v>1048</v>
      </c>
      <c r="D81" s="55"/>
      <c r="F81" s="52"/>
      <c r="I81" s="17"/>
      <c r="J81" s="193"/>
      <c r="K81" s="6"/>
      <c r="L81" s="6"/>
      <c r="M81" s="6"/>
      <c r="N81" s="6"/>
      <c r="S81" s="815"/>
      <c r="T81" s="527"/>
    </row>
    <row r="82" spans="1:20">
      <c r="B82" s="55"/>
      <c r="C82" s="547" t="s">
        <v>1046</v>
      </c>
      <c r="D82" s="55">
        <f>'П1.30 - 07.06.11г.'!$C$28</f>
        <v>531.55799999999999</v>
      </c>
      <c r="F82" s="52"/>
      <c r="I82" s="17"/>
      <c r="J82" s="193"/>
      <c r="K82" s="6"/>
      <c r="L82" s="6"/>
      <c r="M82" s="6"/>
      <c r="N82" s="6"/>
      <c r="S82" s="815"/>
      <c r="T82" s="527"/>
    </row>
    <row r="83" spans="1:20">
      <c r="B83" s="547"/>
      <c r="C83" s="547" t="s">
        <v>1049</v>
      </c>
      <c r="D83" s="816">
        <f>16.5+40</f>
        <v>56.5</v>
      </c>
      <c r="F83" s="52"/>
      <c r="I83" s="17"/>
      <c r="J83" s="193"/>
      <c r="K83" s="6"/>
      <c r="L83" s="6"/>
      <c r="M83" s="6"/>
      <c r="N83" s="6"/>
      <c r="S83" s="815"/>
      <c r="T83" s="527"/>
    </row>
    <row r="84" spans="1:20">
      <c r="B84" s="52" t="s">
        <v>875</v>
      </c>
      <c r="D84" s="608">
        <f>'2012 Баланс  '!D10+'2012 Баланс  '!E10+'2012 Баланс  '!F10</f>
        <v>2057</v>
      </c>
      <c r="E84" s="875">
        <f>D84/$D$85*100</f>
        <v>77.767670879050669</v>
      </c>
      <c r="I84" s="17">
        <f>825+807</f>
        <v>1632</v>
      </c>
      <c r="J84" s="193">
        <f>'2012 Баланс  '!C69</f>
        <v>0</v>
      </c>
      <c r="K84" s="6"/>
      <c r="L84" s="6"/>
      <c r="M84" s="6"/>
      <c r="N84" s="6"/>
      <c r="S84" s="815" t="e">
        <f>D84/$D$24*100</f>
        <v>#DIV/0!</v>
      </c>
      <c r="T84" s="527"/>
    </row>
    <row r="85" spans="1:20">
      <c r="B85" s="52" t="s">
        <v>158</v>
      </c>
      <c r="D85" s="608">
        <f>D80+D84</f>
        <v>2645.058</v>
      </c>
      <c r="E85" s="876">
        <f>SUM(E80:E84)</f>
        <v>100</v>
      </c>
      <c r="I85" s="17"/>
      <c r="J85" s="193">
        <f>SUM(J80:J84)</f>
        <v>6486.5829999999987</v>
      </c>
      <c r="K85" s="6"/>
      <c r="L85" s="6"/>
      <c r="M85" s="6"/>
      <c r="N85" s="6"/>
      <c r="S85" s="815" t="e">
        <f>D85/$D$24*100</f>
        <v>#DIV/0!</v>
      </c>
      <c r="T85" s="527"/>
    </row>
    <row r="86" spans="1:20" s="94" customFormat="1">
      <c r="A86" s="443" t="s">
        <v>1050</v>
      </c>
      <c r="J86" s="873">
        <f>H27/1.18/9*12/1000</f>
        <v>0</v>
      </c>
    </row>
    <row r="87" spans="1:20" s="94" customFormat="1">
      <c r="A87" s="94" t="s">
        <v>1051</v>
      </c>
      <c r="E87" s="872" t="s">
        <v>1145</v>
      </c>
      <c r="F87" s="752">
        <f>$E$75/1000/1.18*1.079*$E$80/100</f>
        <v>87.894136501099325</v>
      </c>
      <c r="G87" s="108" t="s">
        <v>868</v>
      </c>
      <c r="J87" s="873"/>
    </row>
    <row r="88" spans="1:20" s="94" customFormat="1" ht="18">
      <c r="A88" s="94" t="s">
        <v>1053</v>
      </c>
      <c r="I88" s="167"/>
    </row>
    <row r="89" spans="1:20" s="94" customFormat="1">
      <c r="B89" s="872" t="s">
        <v>1054</v>
      </c>
      <c r="C89" s="752">
        <f>$F$87*1.06</f>
        <v>93.167784691165295</v>
      </c>
      <c r="D89" s="108" t="s">
        <v>1057</v>
      </c>
      <c r="I89" s="167"/>
    </row>
    <row r="90" spans="1:20" s="94" customFormat="1">
      <c r="C90" s="874"/>
      <c r="I90" s="167"/>
    </row>
    <row r="91" spans="1:20" s="94" customFormat="1">
      <c r="A91" s="108" t="s">
        <v>1055</v>
      </c>
      <c r="I91" s="167"/>
    </row>
    <row r="92" spans="1:20">
      <c r="A92" s="17" t="s">
        <v>1056</v>
      </c>
    </row>
    <row r="93" spans="1:20">
      <c r="B93" s="1112"/>
      <c r="C93" s="1112"/>
      <c r="D93" s="1113" t="s">
        <v>1058</v>
      </c>
      <c r="E93" s="1114">
        <f>D29+F87</f>
        <v>709.02861557737049</v>
      </c>
      <c r="F93" s="1115" t="s">
        <v>84</v>
      </c>
    </row>
    <row r="94" spans="1:20">
      <c r="B94" s="1112"/>
      <c r="C94" s="1112"/>
      <c r="D94" s="1133" t="s">
        <v>1094</v>
      </c>
      <c r="E94" s="1114">
        <f>C31+C89</f>
        <v>763.3718876144618</v>
      </c>
      <c r="F94" s="1115" t="s">
        <v>84</v>
      </c>
    </row>
    <row r="95" spans="1:20">
      <c r="A95" s="51" t="s">
        <v>227</v>
      </c>
    </row>
    <row r="96" spans="1:20">
      <c r="A96" s="51" t="s">
        <v>236</v>
      </c>
    </row>
  </sheetData>
  <mergeCells count="14">
    <mergeCell ref="B49:B50"/>
    <mergeCell ref="B51:B54"/>
    <mergeCell ref="B6:B21"/>
    <mergeCell ref="C6:C8"/>
    <mergeCell ref="C9:C14"/>
    <mergeCell ref="C15:C17"/>
    <mergeCell ref="C18:C20"/>
    <mergeCell ref="B36:B48"/>
    <mergeCell ref="F40:F41"/>
    <mergeCell ref="G40:G41"/>
    <mergeCell ref="H40:H41"/>
    <mergeCell ref="F49:F50"/>
    <mergeCell ref="G49:G50"/>
    <mergeCell ref="H49:H50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portrait" r:id="rId1"/>
  <headerFooter alignWithMargins="0">
    <oddFooter>&amp;R&amp;P</oddFooter>
  </headerFooter>
  <rowBreaks count="1" manualBreakCount="1">
    <brk id="32" max="16383" man="1"/>
  </rowBreaks>
  <colBreaks count="1" manualBreakCount="1">
    <brk id="8" max="1048575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rgb="FFFFC000"/>
  </sheetPr>
  <dimension ref="A1:K48"/>
  <sheetViews>
    <sheetView zoomScaleNormal="100" workbookViewId="0">
      <pane ySplit="3" topLeftCell="A4" activePane="bottomLeft" state="frozenSplit"/>
      <selection activeCell="K8" sqref="K8"/>
      <selection pane="bottomLeft" activeCell="K8" sqref="K8"/>
    </sheetView>
  </sheetViews>
  <sheetFormatPr defaultColWidth="9.109375" defaultRowHeight="15.6"/>
  <cols>
    <col min="1" max="1" width="3.33203125" style="17" customWidth="1"/>
    <col min="2" max="2" width="23.88671875" style="17" customWidth="1"/>
    <col min="3" max="3" width="8.88671875" style="17" customWidth="1"/>
    <col min="4" max="4" width="16.5546875" style="17" customWidth="1"/>
    <col min="5" max="5" width="14" style="17" customWidth="1"/>
    <col min="6" max="6" width="9.6640625" style="17" customWidth="1"/>
    <col min="7" max="7" width="16.88671875" style="17" customWidth="1"/>
    <col min="8" max="8" width="16" style="17" customWidth="1"/>
    <col min="9" max="9" width="19.109375" style="124" customWidth="1"/>
    <col min="10" max="10" width="15.44140625" style="17" customWidth="1"/>
    <col min="11" max="11" width="11.33203125" style="17" bestFit="1" customWidth="1"/>
    <col min="12" max="16384" width="9.109375" style="17"/>
  </cols>
  <sheetData>
    <row r="1" spans="1:11" ht="47.4">
      <c r="A1" s="500" t="s">
        <v>1090</v>
      </c>
      <c r="B1" s="50"/>
      <c r="C1" s="50"/>
      <c r="D1" s="50"/>
      <c r="E1" s="50"/>
      <c r="F1" s="50"/>
      <c r="G1" s="50"/>
      <c r="H1" s="50"/>
      <c r="I1" s="501"/>
      <c r="J1" s="38"/>
    </row>
    <row r="2" spans="1:11" ht="18">
      <c r="A2" s="45"/>
      <c r="B2" s="45"/>
      <c r="C2" s="45"/>
      <c r="D2" s="45"/>
      <c r="E2" s="502"/>
      <c r="F2" s="45"/>
      <c r="G2" s="754" t="s">
        <v>848</v>
      </c>
      <c r="H2" s="502"/>
      <c r="I2" s="503"/>
      <c r="J2" s="38"/>
    </row>
    <row r="3" spans="1:11" ht="44.4">
      <c r="A3" s="44" t="s">
        <v>229</v>
      </c>
      <c r="B3" s="504" t="s">
        <v>631</v>
      </c>
      <c r="C3" s="504" t="s">
        <v>632</v>
      </c>
      <c r="D3" s="504" t="s">
        <v>633</v>
      </c>
      <c r="E3" s="505" t="s">
        <v>634</v>
      </c>
      <c r="F3" s="504" t="s">
        <v>632</v>
      </c>
      <c r="G3" s="504" t="s">
        <v>246</v>
      </c>
      <c r="H3" s="505" t="s">
        <v>635</v>
      </c>
      <c r="I3" s="506"/>
      <c r="J3" s="47"/>
    </row>
    <row r="4" spans="1:11">
      <c r="A4" s="1100" t="s">
        <v>983</v>
      </c>
      <c r="B4" s="1101"/>
      <c r="C4" s="1101"/>
      <c r="D4" s="1101"/>
      <c r="E4" s="1101"/>
      <c r="F4" s="1101"/>
      <c r="G4" s="1101"/>
      <c r="H4" s="1102"/>
      <c r="I4" s="506"/>
      <c r="J4" s="47"/>
    </row>
    <row r="5" spans="1:11">
      <c r="A5" s="1097" t="s">
        <v>1089</v>
      </c>
      <c r="B5" s="1098"/>
      <c r="C5" s="1098"/>
      <c r="D5" s="1098"/>
      <c r="E5" s="1098"/>
      <c r="F5" s="1098"/>
      <c r="G5" s="1098"/>
      <c r="H5" s="1099"/>
      <c r="I5" s="506"/>
      <c r="J5" s="47"/>
    </row>
    <row r="6" spans="1:11" s="512" customFormat="1" ht="19.5" customHeight="1">
      <c r="A6" s="507" t="s">
        <v>76</v>
      </c>
      <c r="B6" s="1129" t="s">
        <v>1084</v>
      </c>
      <c r="C6" s="870"/>
      <c r="D6" s="509"/>
      <c r="E6" s="517"/>
      <c r="F6" s="870" t="s">
        <v>1086</v>
      </c>
      <c r="G6" s="509">
        <v>256</v>
      </c>
      <c r="H6" s="517">
        <v>5952</v>
      </c>
      <c r="I6" s="520"/>
      <c r="J6" s="520"/>
      <c r="K6" s="520"/>
    </row>
    <row r="7" spans="1:11" s="512" customFormat="1" ht="19.5" customHeight="1">
      <c r="A7" s="507" t="s">
        <v>77</v>
      </c>
      <c r="B7" s="2882" t="s">
        <v>984</v>
      </c>
      <c r="C7" s="870" t="s">
        <v>1082</v>
      </c>
      <c r="D7" s="509" t="s">
        <v>1083</v>
      </c>
      <c r="E7" s="517">
        <v>5697</v>
      </c>
      <c r="F7" s="870" t="s">
        <v>1092</v>
      </c>
      <c r="G7" s="509">
        <v>112</v>
      </c>
      <c r="H7" s="517">
        <v>2490</v>
      </c>
      <c r="I7" s="520"/>
      <c r="J7" s="511"/>
    </row>
    <row r="8" spans="1:11" s="512" customFormat="1" ht="19.5" customHeight="1">
      <c r="A8" s="515" t="s">
        <v>78</v>
      </c>
      <c r="B8" s="2883"/>
      <c r="C8" s="870"/>
      <c r="D8" s="509"/>
      <c r="E8" s="517"/>
      <c r="F8" s="870" t="s">
        <v>1093</v>
      </c>
      <c r="G8" s="509">
        <v>235</v>
      </c>
      <c r="H8" s="517">
        <v>5658.1</v>
      </c>
      <c r="I8" s="520"/>
      <c r="J8" s="520"/>
      <c r="K8" s="520"/>
    </row>
    <row r="9" spans="1:11" s="512" customFormat="1" ht="20.25" customHeight="1">
      <c r="A9" s="507" t="s">
        <v>79</v>
      </c>
      <c r="B9" s="2884"/>
      <c r="C9" s="870"/>
      <c r="D9" s="509"/>
      <c r="E9" s="517"/>
      <c r="F9" s="870" t="s">
        <v>1087</v>
      </c>
      <c r="G9" s="509">
        <v>262</v>
      </c>
      <c r="H9" s="517">
        <v>5522.4</v>
      </c>
      <c r="I9" s="510"/>
      <c r="J9" s="511"/>
    </row>
    <row r="10" spans="1:11" s="512" customFormat="1" ht="20.25" customHeight="1">
      <c r="A10" s="515" t="s">
        <v>80</v>
      </c>
      <c r="B10" s="2884"/>
      <c r="C10" s="870"/>
      <c r="D10" s="509"/>
      <c r="E10" s="517"/>
      <c r="F10" s="870" t="s">
        <v>1088</v>
      </c>
      <c r="G10" s="509">
        <v>287</v>
      </c>
      <c r="H10" s="517">
        <v>8968</v>
      </c>
      <c r="I10" s="520"/>
      <c r="J10" s="511"/>
    </row>
    <row r="11" spans="1:11" s="512" customFormat="1" ht="20.25" customHeight="1">
      <c r="A11" s="515" t="s">
        <v>81</v>
      </c>
      <c r="B11" s="2884"/>
      <c r="C11" s="870"/>
      <c r="D11" s="509"/>
      <c r="E11" s="517"/>
      <c r="F11" s="870" t="s">
        <v>1091</v>
      </c>
      <c r="G11" s="509">
        <v>302</v>
      </c>
      <c r="H11" s="517">
        <v>18874.099999999999</v>
      </c>
      <c r="I11" s="510"/>
      <c r="J11" s="511"/>
    </row>
    <row r="12" spans="1:11" s="512" customFormat="1" ht="20.25" hidden="1" customHeight="1">
      <c r="A12" s="515" t="s">
        <v>82</v>
      </c>
      <c r="B12" s="2884"/>
      <c r="C12" s="870"/>
      <c r="D12" s="509"/>
      <c r="E12" s="517"/>
      <c r="F12" s="870"/>
      <c r="G12" s="509"/>
      <c r="H12" s="517"/>
      <c r="I12" s="520"/>
      <c r="J12" s="520"/>
      <c r="K12" s="520"/>
    </row>
    <row r="13" spans="1:11" s="512" customFormat="1" ht="20.25" hidden="1" customHeight="1">
      <c r="A13" s="515" t="s">
        <v>83</v>
      </c>
      <c r="B13" s="2884"/>
      <c r="C13" s="1103"/>
      <c r="D13" s="1104"/>
      <c r="E13" s="1105"/>
      <c r="F13" s="870"/>
      <c r="G13" s="509"/>
      <c r="H13" s="517"/>
      <c r="J13" s="520"/>
      <c r="K13" s="520"/>
    </row>
    <row r="14" spans="1:11" s="512" customFormat="1" ht="20.25" hidden="1" customHeight="1">
      <c r="A14" s="515" t="s">
        <v>220</v>
      </c>
      <c r="B14" s="2884"/>
      <c r="C14" s="870"/>
      <c r="D14" s="509"/>
      <c r="E14" s="517"/>
      <c r="F14" s="870"/>
      <c r="G14" s="509"/>
      <c r="H14" s="517"/>
      <c r="I14" s="520"/>
      <c r="J14" s="510"/>
    </row>
    <row r="15" spans="1:11" s="512" customFormat="1" ht="20.25" hidden="1" customHeight="1">
      <c r="A15" s="515" t="s">
        <v>221</v>
      </c>
      <c r="B15" s="2884"/>
      <c r="C15" s="870"/>
      <c r="D15" s="509"/>
      <c r="E15" s="517"/>
      <c r="F15" s="870"/>
      <c r="G15" s="509"/>
      <c r="H15" s="517"/>
      <c r="I15" s="520"/>
      <c r="J15" s="520"/>
      <c r="K15" s="520"/>
    </row>
    <row r="16" spans="1:11" s="512" customFormat="1" ht="20.25" hidden="1" customHeight="1">
      <c r="A16" s="507" t="s">
        <v>219</v>
      </c>
      <c r="B16" s="2884"/>
      <c r="C16" s="870"/>
      <c r="D16" s="509"/>
      <c r="E16" s="517"/>
      <c r="F16" s="870"/>
      <c r="G16" s="509"/>
      <c r="H16" s="517"/>
      <c r="I16" s="520"/>
      <c r="J16" s="520"/>
      <c r="K16" s="520"/>
    </row>
    <row r="17" spans="1:11" s="512" customFormat="1" ht="20.25" hidden="1" customHeight="1">
      <c r="A17" s="507" t="s">
        <v>222</v>
      </c>
      <c r="B17" s="2884"/>
      <c r="C17" s="870"/>
      <c r="D17" s="509"/>
      <c r="E17" s="517"/>
      <c r="F17" s="870"/>
      <c r="G17" s="509"/>
      <c r="H17" s="517"/>
      <c r="I17" s="520"/>
      <c r="J17" s="520"/>
    </row>
    <row r="18" spans="1:11" s="512" customFormat="1" ht="20.25" hidden="1" customHeight="1">
      <c r="A18" s="507" t="s">
        <v>308</v>
      </c>
      <c r="B18" s="2884"/>
      <c r="C18" s="870"/>
      <c r="D18" s="509"/>
      <c r="E18" s="517"/>
      <c r="F18" s="870"/>
      <c r="G18" s="509"/>
      <c r="H18" s="517"/>
      <c r="I18" s="520"/>
      <c r="J18" s="520"/>
      <c r="K18" s="520"/>
    </row>
    <row r="19" spans="1:11" s="512" customFormat="1" ht="19.5" hidden="1" customHeight="1">
      <c r="A19" s="507" t="s">
        <v>1015</v>
      </c>
      <c r="B19" s="2885"/>
      <c r="C19" s="870"/>
      <c r="D19" s="509"/>
      <c r="E19" s="517"/>
      <c r="F19" s="870"/>
      <c r="G19" s="509"/>
      <c r="H19" s="517"/>
      <c r="I19" s="520"/>
      <c r="J19" s="511"/>
    </row>
    <row r="20" spans="1:11" s="512" customFormat="1" ht="19.5" hidden="1" customHeight="1">
      <c r="A20" s="507" t="s">
        <v>1016</v>
      </c>
      <c r="B20" s="2868" t="s">
        <v>984</v>
      </c>
      <c r="C20" s="870"/>
      <c r="D20" s="509"/>
      <c r="E20" s="517"/>
      <c r="F20" s="870"/>
      <c r="G20" s="509"/>
      <c r="H20" s="517"/>
      <c r="I20" s="520"/>
      <c r="J20" s="511"/>
    </row>
    <row r="21" spans="1:11" s="512" customFormat="1" ht="19.5" hidden="1" customHeight="1">
      <c r="A21" s="507" t="s">
        <v>1017</v>
      </c>
      <c r="B21" s="2876"/>
      <c r="C21" s="870"/>
      <c r="D21" s="509"/>
      <c r="E21" s="517"/>
      <c r="F21" s="870"/>
      <c r="G21" s="509"/>
      <c r="H21" s="517"/>
      <c r="I21" s="520"/>
      <c r="J21" s="511"/>
    </row>
    <row r="22" spans="1:11" s="512" customFormat="1" ht="19.5" hidden="1" customHeight="1">
      <c r="A22" s="507" t="s">
        <v>1018</v>
      </c>
      <c r="B22" s="2876"/>
      <c r="C22" s="870"/>
      <c r="D22" s="509"/>
      <c r="E22" s="517"/>
      <c r="F22" s="870"/>
      <c r="G22" s="509"/>
      <c r="H22" s="517"/>
      <c r="I22" s="520"/>
    </row>
    <row r="23" spans="1:11" s="512" customFormat="1" ht="19.5" hidden="1" customHeight="1">
      <c r="A23" s="507" t="s">
        <v>1019</v>
      </c>
      <c r="B23" s="2869"/>
      <c r="C23" s="870"/>
      <c r="D23" s="509"/>
      <c r="E23" s="517"/>
      <c r="F23" s="870"/>
      <c r="G23" s="509"/>
      <c r="H23" s="517"/>
      <c r="I23" s="520"/>
      <c r="J23" s="520"/>
      <c r="K23" s="520"/>
    </row>
    <row r="24" spans="1:11" s="512" customFormat="1" ht="19.5" hidden="1" customHeight="1">
      <c r="A24" s="507" t="s">
        <v>1020</v>
      </c>
      <c r="B24" s="871" t="s">
        <v>1008</v>
      </c>
      <c r="C24" s="870"/>
      <c r="D24" s="509"/>
      <c r="E24" s="517"/>
      <c r="F24" s="870"/>
      <c r="G24" s="509"/>
      <c r="H24" s="517"/>
      <c r="I24" s="520"/>
      <c r="J24" s="511"/>
    </row>
    <row r="25" spans="1:11" s="512" customFormat="1" ht="19.5" hidden="1" customHeight="1">
      <c r="A25" s="507" t="s">
        <v>1021</v>
      </c>
      <c r="B25" s="871" t="s">
        <v>984</v>
      </c>
      <c r="C25" s="1103"/>
      <c r="D25" s="1104"/>
      <c r="E25" s="1105"/>
      <c r="F25" s="870"/>
      <c r="G25" s="509"/>
      <c r="H25" s="517"/>
      <c r="I25" s="520"/>
      <c r="J25" s="511"/>
    </row>
    <row r="26" spans="1:11" s="512" customFormat="1" ht="19.5" hidden="1" customHeight="1">
      <c r="A26" s="507" t="s">
        <v>1022</v>
      </c>
      <c r="B26" s="871"/>
      <c r="C26" s="870"/>
      <c r="D26" s="509"/>
      <c r="E26" s="517"/>
      <c r="F26" s="870"/>
      <c r="G26" s="509"/>
      <c r="H26" s="517"/>
      <c r="I26" s="520"/>
      <c r="J26" s="511"/>
    </row>
    <row r="27" spans="1:11" s="512" customFormat="1" ht="19.5" hidden="1" customHeight="1">
      <c r="A27" s="507" t="s">
        <v>1023</v>
      </c>
      <c r="B27" s="871"/>
      <c r="C27" s="870"/>
      <c r="D27" s="509"/>
      <c r="E27" s="517"/>
      <c r="F27" s="870"/>
      <c r="G27" s="509"/>
      <c r="H27" s="517"/>
      <c r="I27" s="520"/>
      <c r="J27" s="511"/>
    </row>
    <row r="28" spans="1:11" s="512" customFormat="1" ht="19.5" hidden="1" customHeight="1">
      <c r="A28" s="507" t="s">
        <v>1024</v>
      </c>
      <c r="B28" s="871"/>
      <c r="C28" s="870"/>
      <c r="D28" s="509"/>
      <c r="E28" s="517"/>
      <c r="F28" s="870"/>
      <c r="G28" s="509"/>
      <c r="H28" s="517"/>
      <c r="I28" s="520"/>
      <c r="J28" s="520"/>
    </row>
    <row r="29" spans="1:11" s="512" customFormat="1" ht="19.5" hidden="1" customHeight="1">
      <c r="A29" s="507" t="s">
        <v>1025</v>
      </c>
      <c r="B29" s="871"/>
      <c r="C29" s="870"/>
      <c r="D29" s="509"/>
      <c r="E29" s="517"/>
      <c r="F29" s="870"/>
      <c r="G29" s="509"/>
      <c r="H29" s="517"/>
      <c r="I29" s="520"/>
      <c r="J29" s="511"/>
    </row>
    <row r="30" spans="1:11" s="512" customFormat="1" ht="19.5" hidden="1" customHeight="1">
      <c r="A30" s="507" t="s">
        <v>1041</v>
      </c>
      <c r="B30" s="871"/>
      <c r="C30" s="870"/>
      <c r="D30" s="509"/>
      <c r="E30" s="517"/>
      <c r="F30" s="870"/>
      <c r="G30" s="509"/>
      <c r="H30" s="517"/>
      <c r="I30" s="520"/>
      <c r="J30" s="511"/>
    </row>
    <row r="31" spans="1:11" s="512" customFormat="1" ht="21" hidden="1" customHeight="1">
      <c r="A31" s="507" t="s">
        <v>1085</v>
      </c>
      <c r="B31" s="871"/>
      <c r="C31" s="870"/>
      <c r="D31" s="509"/>
      <c r="E31" s="517"/>
      <c r="F31" s="870"/>
      <c r="G31" s="509"/>
      <c r="H31" s="517"/>
      <c r="I31" s="520"/>
      <c r="J31" s="511"/>
    </row>
    <row r="32" spans="1:11" s="512" customFormat="1" ht="19.5" hidden="1" customHeight="1">
      <c r="A32" s="507"/>
      <c r="B32" s="496"/>
      <c r="C32" s="870"/>
      <c r="D32" s="509"/>
      <c r="E32" s="517"/>
      <c r="F32" s="870"/>
      <c r="G32" s="509"/>
      <c r="H32" s="517"/>
      <c r="I32" s="520"/>
      <c r="J32" s="511"/>
    </row>
    <row r="33" spans="1:10" s="512" customFormat="1" ht="19.5" hidden="1" customHeight="1">
      <c r="A33" s="507"/>
      <c r="B33" s="496"/>
      <c r="C33" s="870"/>
      <c r="D33" s="509"/>
      <c r="E33" s="517"/>
      <c r="F33" s="870"/>
      <c r="G33" s="509"/>
      <c r="H33" s="517"/>
      <c r="I33" s="520"/>
      <c r="J33" s="511"/>
    </row>
    <row r="34" spans="1:10" s="512" customFormat="1" ht="19.5" hidden="1" customHeight="1">
      <c r="A34" s="507"/>
      <c r="B34" s="496"/>
      <c r="C34" s="870"/>
      <c r="D34" s="509"/>
      <c r="E34" s="517"/>
      <c r="F34" s="870"/>
      <c r="G34" s="509"/>
      <c r="H34" s="517"/>
      <c r="I34" s="520"/>
      <c r="J34" s="511"/>
    </row>
    <row r="35" spans="1:10" s="512" customFormat="1" ht="19.5" hidden="1" customHeight="1">
      <c r="A35" s="507"/>
      <c r="B35" s="496"/>
      <c r="C35" s="870"/>
      <c r="D35" s="509"/>
      <c r="E35" s="517"/>
      <c r="F35" s="870"/>
      <c r="G35" s="509"/>
      <c r="H35" s="517"/>
      <c r="I35" s="520"/>
      <c r="J35" s="511"/>
    </row>
    <row r="36" spans="1:10" s="512" customFormat="1" ht="19.5" hidden="1" customHeight="1">
      <c r="A36" s="507"/>
      <c r="B36" s="496"/>
      <c r="C36" s="870"/>
      <c r="D36" s="509"/>
      <c r="E36" s="517"/>
      <c r="F36" s="870"/>
      <c r="G36" s="509"/>
      <c r="H36" s="517"/>
      <c r="I36" s="520"/>
      <c r="J36" s="511"/>
    </row>
    <row r="37" spans="1:10" s="512" customFormat="1" ht="19.5" hidden="1" customHeight="1">
      <c r="A37" s="507"/>
      <c r="B37" s="496"/>
      <c r="C37" s="870"/>
      <c r="D37" s="509"/>
      <c r="E37" s="517"/>
      <c r="F37" s="870"/>
      <c r="G37" s="509"/>
      <c r="H37" s="517"/>
      <c r="I37" s="520"/>
      <c r="J37" s="511"/>
    </row>
    <row r="38" spans="1:10" s="512" customFormat="1" ht="19.5" hidden="1" customHeight="1">
      <c r="A38" s="507"/>
      <c r="B38" s="496"/>
      <c r="C38" s="870"/>
      <c r="D38" s="509"/>
      <c r="E38" s="517"/>
      <c r="F38" s="870"/>
      <c r="G38" s="509"/>
      <c r="H38" s="517"/>
      <c r="I38" s="520"/>
      <c r="J38" s="511"/>
    </row>
    <row r="39" spans="1:10" s="512" customFormat="1" ht="19.5" hidden="1" customHeight="1">
      <c r="A39" s="507"/>
      <c r="B39" s="496"/>
      <c r="C39" s="870"/>
      <c r="D39" s="509"/>
      <c r="E39" s="517"/>
      <c r="F39" s="870"/>
      <c r="G39" s="509"/>
      <c r="H39" s="517"/>
      <c r="I39" s="520"/>
      <c r="J39" s="511"/>
    </row>
    <row r="40" spans="1:10" s="512" customFormat="1" ht="19.5" hidden="1" customHeight="1">
      <c r="A40" s="507"/>
      <c r="B40" s="496"/>
      <c r="C40" s="870"/>
      <c r="D40" s="509"/>
      <c r="E40" s="517"/>
      <c r="F40" s="870"/>
      <c r="G40" s="509"/>
      <c r="H40" s="517"/>
      <c r="I40" s="520"/>
      <c r="J40" s="511"/>
    </row>
    <row r="41" spans="1:10" s="512" customFormat="1" ht="19.5" hidden="1" customHeight="1">
      <c r="A41" s="507"/>
      <c r="B41" s="496"/>
      <c r="C41" s="870"/>
      <c r="D41" s="509"/>
      <c r="E41" s="517"/>
      <c r="F41" s="870"/>
      <c r="G41" s="509"/>
      <c r="H41" s="517"/>
      <c r="I41" s="520"/>
      <c r="J41" s="511"/>
    </row>
    <row r="42" spans="1:10" s="512" customFormat="1" ht="19.5" hidden="1" customHeight="1">
      <c r="A42" s="507"/>
      <c r="B42" s="496"/>
      <c r="C42" s="870"/>
      <c r="D42" s="509"/>
      <c r="E42" s="517"/>
      <c r="F42" s="870"/>
      <c r="G42" s="509"/>
      <c r="H42" s="517"/>
      <c r="I42" s="520"/>
      <c r="J42" s="511"/>
    </row>
    <row r="43" spans="1:10" s="512" customFormat="1" ht="19.5" hidden="1" customHeight="1">
      <c r="A43" s="507"/>
      <c r="B43" s="496"/>
      <c r="C43" s="870"/>
      <c r="D43" s="509"/>
      <c r="E43" s="517"/>
      <c r="F43" s="870"/>
      <c r="G43" s="509"/>
      <c r="H43" s="517"/>
      <c r="I43" s="520"/>
      <c r="J43" s="511"/>
    </row>
    <row r="44" spans="1:10">
      <c r="A44" s="514" t="s">
        <v>158</v>
      </c>
      <c r="B44" s="516"/>
      <c r="C44" s="508"/>
      <c r="D44" s="513"/>
      <c r="E44" s="519">
        <f>SUM(E7:E43)</f>
        <v>5697</v>
      </c>
      <c r="F44" s="521"/>
      <c r="G44" s="521"/>
      <c r="H44" s="519">
        <f>SUM(H7:H43)</f>
        <v>41512.6</v>
      </c>
      <c r="I44" s="506"/>
      <c r="J44" s="47"/>
    </row>
    <row r="45" spans="1:10">
      <c r="A45" s="1131"/>
      <c r="B45" s="522"/>
      <c r="C45" s="523"/>
      <c r="D45" s="524"/>
      <c r="E45" s="525"/>
      <c r="F45" s="42"/>
      <c r="G45" s="42"/>
      <c r="H45" s="525"/>
      <c r="I45" s="506"/>
      <c r="J45" s="47"/>
    </row>
    <row r="46" spans="1:10" ht="16.5" customHeight="1">
      <c r="A46" s="1131"/>
      <c r="B46" s="522"/>
      <c r="C46" s="523"/>
      <c r="D46" s="524"/>
      <c r="E46" s="525"/>
      <c r="F46" s="42"/>
      <c r="G46" s="42"/>
      <c r="H46" s="525"/>
      <c r="I46" s="506"/>
      <c r="J46" s="47"/>
    </row>
    <row r="47" spans="1:10">
      <c r="A47" s="51" t="s">
        <v>227</v>
      </c>
    </row>
    <row r="48" spans="1:10">
      <c r="A48" s="51" t="s">
        <v>236</v>
      </c>
    </row>
  </sheetData>
  <mergeCells count="2">
    <mergeCell ref="B20:B23"/>
    <mergeCell ref="B7:B19"/>
  </mergeCells>
  <printOptions horizontalCentered="1"/>
  <pageMargins left="0.78740157480314965" right="0.59055118110236227" top="0.78740157480314965" bottom="0.11811023622047245" header="0.51181102362204722" footer="3.937007874015748E-2"/>
  <pageSetup paperSize="9" scale="81" orientation="portrait" r:id="rId1"/>
  <headerFooter alignWithMargins="0">
    <oddFooter>&amp;R&amp;P</oddFooter>
  </headerFooter>
  <colBreaks count="1" manualBreakCount="1">
    <brk id="8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rgb="FFCCFF66"/>
  </sheetPr>
  <dimension ref="A1:I28"/>
  <sheetViews>
    <sheetView zoomScaleNormal="100" workbookViewId="0">
      <pane ySplit="5" topLeftCell="A12" activePane="bottomLeft" state="frozenSplit"/>
      <selection activeCell="K8" sqref="K8"/>
      <selection pane="bottomLeft" activeCell="K8" sqref="K8"/>
    </sheetView>
  </sheetViews>
  <sheetFormatPr defaultColWidth="9.109375" defaultRowHeight="15.6"/>
  <cols>
    <col min="1" max="1" width="4.5546875" style="17" customWidth="1"/>
    <col min="2" max="2" width="72.88671875" style="17" customWidth="1"/>
    <col min="3" max="3" width="21.6640625" style="17" customWidth="1"/>
    <col min="4" max="4" width="45.88671875" style="17" customWidth="1"/>
    <col min="5" max="5" width="17" style="17" customWidth="1"/>
    <col min="6" max="16384" width="9.109375" style="17"/>
  </cols>
  <sheetData>
    <row r="1" spans="1:9" ht="18">
      <c r="A1" s="500" t="s">
        <v>684</v>
      </c>
      <c r="B1" s="50"/>
      <c r="C1" s="50"/>
      <c r="D1" s="50"/>
      <c r="E1" s="50"/>
    </row>
    <row r="2" spans="1:9" ht="25.5" customHeight="1">
      <c r="A2" s="500" t="s">
        <v>856</v>
      </c>
      <c r="B2" s="50"/>
      <c r="C2" s="50"/>
      <c r="D2" s="50"/>
      <c r="E2" s="50"/>
    </row>
    <row r="3" spans="1:9" ht="18">
      <c r="A3" s="45"/>
      <c r="B3" s="45"/>
      <c r="C3" s="45"/>
      <c r="D3" s="754" t="s">
        <v>848</v>
      </c>
      <c r="E3" s="97" t="s">
        <v>263</v>
      </c>
    </row>
    <row r="4" spans="1:9" ht="33.75" customHeight="1">
      <c r="A4" s="44" t="s">
        <v>229</v>
      </c>
      <c r="B4" s="43" t="s">
        <v>264</v>
      </c>
      <c r="C4" s="43" t="s">
        <v>227</v>
      </c>
      <c r="D4" s="43" t="s">
        <v>228</v>
      </c>
      <c r="E4" s="68" t="s">
        <v>854</v>
      </c>
    </row>
    <row r="5" spans="1:9" ht="21" customHeight="1">
      <c r="A5" s="44"/>
      <c r="B5" s="43"/>
      <c r="C5" s="43"/>
      <c r="D5" s="43"/>
      <c r="E5" s="98" t="s">
        <v>84</v>
      </c>
    </row>
    <row r="6" spans="1:9" ht="16.2">
      <c r="A6" s="99" t="s">
        <v>265</v>
      </c>
      <c r="B6" s="100"/>
      <c r="C6" s="100"/>
      <c r="D6" s="101"/>
      <c r="E6" s="101"/>
    </row>
    <row r="7" spans="1:9" s="112" customFormat="1" ht="50.25" hidden="1" customHeight="1">
      <c r="A7" s="2909">
        <v>1</v>
      </c>
      <c r="B7" s="220"/>
      <c r="C7" s="221"/>
      <c r="D7" s="222"/>
      <c r="E7" s="104"/>
      <c r="I7" s="528">
        <f>(71.4+71+40+30)/1.18</f>
        <v>180.00000000000003</v>
      </c>
    </row>
    <row r="8" spans="1:9" s="94" customFormat="1" hidden="1">
      <c r="A8" s="2909"/>
      <c r="B8" s="220"/>
      <c r="C8" s="221"/>
      <c r="D8" s="222"/>
      <c r="E8" s="104"/>
    </row>
    <row r="9" spans="1:9" s="94" customFormat="1" hidden="1">
      <c r="A9" s="2909"/>
      <c r="B9" s="220"/>
      <c r="C9" s="221"/>
      <c r="D9" s="222"/>
      <c r="E9" s="104"/>
      <c r="F9" s="545">
        <f>SUM(E7:E9)</f>
        <v>0</v>
      </c>
    </row>
    <row r="10" spans="1:9" s="94" customFormat="1" ht="40.5" customHeight="1">
      <c r="A10" s="102">
        <v>1</v>
      </c>
      <c r="B10" s="102" t="str">
        <f>'РСЭО 2012г.'!B25</f>
        <v xml:space="preserve"> Ежегодное медицинское освидетельствование электротехнического персонала</v>
      </c>
      <c r="C10" s="103"/>
      <c r="D10" s="219"/>
      <c r="E10" s="104">
        <f>273*1.079-158.9</f>
        <v>135.667</v>
      </c>
    </row>
    <row r="11" spans="1:9" s="94" customFormat="1" ht="51.75" customHeight="1">
      <c r="A11" s="102">
        <v>2</v>
      </c>
      <c r="B11" s="102" t="s">
        <v>853</v>
      </c>
      <c r="C11" s="103"/>
      <c r="D11" s="219"/>
      <c r="E11" s="104">
        <v>30</v>
      </c>
    </row>
    <row r="12" spans="1:9" s="94" customFormat="1" ht="53.25" customHeight="1">
      <c r="A12" s="102">
        <v>3</v>
      </c>
      <c r="B12" s="102" t="s">
        <v>1147</v>
      </c>
      <c r="C12" s="103" t="s">
        <v>915</v>
      </c>
      <c r="D12" s="219" t="s">
        <v>1601</v>
      </c>
      <c r="E12" s="104">
        <f>1.7+3.4+1.7</f>
        <v>6.8</v>
      </c>
      <c r="F12" s="94">
        <f>8+5.1+1.7+35.7+1.7</f>
        <v>52.2</v>
      </c>
      <c r="G12" s="94" t="s">
        <v>916</v>
      </c>
    </row>
    <row r="13" spans="1:9" s="94" customFormat="1" ht="40.5" customHeight="1">
      <c r="A13" s="102">
        <v>4</v>
      </c>
      <c r="B13" s="102" t="s">
        <v>232</v>
      </c>
      <c r="C13" s="103" t="s">
        <v>231</v>
      </c>
      <c r="D13" s="219" t="s">
        <v>919</v>
      </c>
      <c r="E13" s="104">
        <f>59-9</f>
        <v>50</v>
      </c>
    </row>
    <row r="14" spans="1:9" s="94" customFormat="1" ht="55.5" customHeight="1">
      <c r="A14" s="102">
        <v>5</v>
      </c>
      <c r="B14" s="102" t="s">
        <v>917</v>
      </c>
      <c r="C14" s="103"/>
      <c r="D14" s="219" t="s">
        <v>921</v>
      </c>
      <c r="E14" s="104">
        <f>17-2.59321</f>
        <v>14.406790000000001</v>
      </c>
    </row>
    <row r="15" spans="1:9" s="94" customFormat="1" ht="55.5" customHeight="1">
      <c r="A15" s="102">
        <v>6</v>
      </c>
      <c r="B15" s="772" t="s">
        <v>918</v>
      </c>
      <c r="C15" s="103" t="s">
        <v>231</v>
      </c>
      <c r="D15" s="219" t="s">
        <v>920</v>
      </c>
      <c r="E15" s="104">
        <f>70-10.67796</f>
        <v>59.322040000000001</v>
      </c>
    </row>
    <row r="16" spans="1:9" s="108" customFormat="1" ht="26.25" customHeight="1">
      <c r="A16" s="106"/>
      <c r="B16" s="106" t="s">
        <v>640</v>
      </c>
      <c r="C16" s="106"/>
      <c r="D16" s="106"/>
      <c r="E16" s="107">
        <f>SUM(E7:E15)</f>
        <v>296.19583</v>
      </c>
    </row>
    <row r="17" spans="1:5" s="108" customFormat="1" ht="18" customHeight="1">
      <c r="A17" s="106"/>
      <c r="B17" s="543" t="s">
        <v>682</v>
      </c>
      <c r="C17" s="106"/>
      <c r="D17" s="106"/>
      <c r="E17" s="546">
        <f>SUM(E7:E9)</f>
        <v>0</v>
      </c>
    </row>
    <row r="18" spans="1:5" ht="16.2">
      <c r="A18" s="99" t="s">
        <v>637</v>
      </c>
      <c r="B18" s="100"/>
      <c r="C18" s="100"/>
      <c r="D18" s="101"/>
      <c r="E18" s="101"/>
    </row>
    <row r="19" spans="1:5" s="94" customFormat="1" ht="57" customHeight="1">
      <c r="A19" s="102">
        <v>4</v>
      </c>
      <c r="B19" s="544" t="s">
        <v>680</v>
      </c>
      <c r="C19" s="103" t="s">
        <v>636</v>
      </c>
      <c r="D19" s="219" t="s">
        <v>639</v>
      </c>
      <c r="E19" s="104">
        <f>'Реестр всп.мат.2010 пром.+ПСХ'!E93</f>
        <v>709.02861557737049</v>
      </c>
    </row>
    <row r="20" spans="1:5" s="108" customFormat="1" ht="26.25" customHeight="1">
      <c r="A20" s="106"/>
      <c r="B20" s="106" t="s">
        <v>641</v>
      </c>
      <c r="C20" s="106"/>
      <c r="D20" s="106"/>
      <c r="E20" s="107">
        <f>E19</f>
        <v>709.02861557737049</v>
      </c>
    </row>
    <row r="21" spans="1:5" s="108" customFormat="1" ht="26.25" customHeight="1">
      <c r="A21" s="106"/>
      <c r="B21" s="106" t="s">
        <v>248</v>
      </c>
      <c r="C21" s="106"/>
      <c r="D21" s="106"/>
      <c r="E21" s="107">
        <f>E16+E20</f>
        <v>1005.2244455773705</v>
      </c>
    </row>
    <row r="22" spans="1:5" s="94" customFormat="1" ht="11.25" customHeight="1">
      <c r="A22" s="105"/>
      <c r="B22" s="105"/>
      <c r="C22" s="105"/>
      <c r="D22" s="105"/>
      <c r="E22" s="105"/>
    </row>
    <row r="23" spans="1:5" s="109" customFormat="1" ht="13.8">
      <c r="D23" s="110"/>
    </row>
    <row r="24" spans="1:5" s="55" customFormat="1" ht="22.5" customHeight="1">
      <c r="A24" s="55" t="s">
        <v>266</v>
      </c>
      <c r="C24" s="111"/>
      <c r="D24" s="111"/>
      <c r="E24" s="111"/>
    </row>
    <row r="25" spans="1:5" s="55" customFormat="1" ht="22.5" customHeight="1">
      <c r="A25" s="55" t="s">
        <v>923</v>
      </c>
      <c r="C25" s="111"/>
      <c r="D25" s="111"/>
      <c r="E25" s="111"/>
    </row>
    <row r="26" spans="1:5" s="55" customFormat="1" ht="22.5" customHeight="1">
      <c r="C26" s="111"/>
      <c r="D26" s="111"/>
      <c r="E26" s="111"/>
    </row>
    <row r="27" spans="1:5">
      <c r="A27" s="51" t="s">
        <v>227</v>
      </c>
      <c r="B27" s="42"/>
      <c r="C27" s="42"/>
      <c r="D27" s="42"/>
      <c r="E27" s="42"/>
    </row>
    <row r="28" spans="1:5">
      <c r="A28" s="51" t="s">
        <v>236</v>
      </c>
    </row>
  </sheetData>
  <mergeCells count="1">
    <mergeCell ref="A7:A9"/>
  </mergeCells>
  <phoneticPr fontId="20" type="noConversion"/>
  <printOptions horizontalCentered="1"/>
  <pageMargins left="0.39370078740157483" right="0.39370078740157483" top="0.78740157480314965" bottom="3.937007874015748E-2" header="3.937007874015748E-2" footer="3.937007874015748E-2"/>
  <pageSetup paperSize="9" scale="77" orientation="landscape" r:id="rId1"/>
  <headerFooter alignWithMargins="0"/>
  <colBreaks count="1" manualBreakCount="1">
    <brk id="5" max="1048575" man="1"/>
  </col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9">
    <tabColor rgb="FFFF0000"/>
  </sheetPr>
  <dimension ref="A1:I64"/>
  <sheetViews>
    <sheetView topLeftCell="A7" zoomScaleNormal="100" workbookViewId="0">
      <selection activeCell="K8" sqref="K8"/>
    </sheetView>
  </sheetViews>
  <sheetFormatPr defaultColWidth="9.109375" defaultRowHeight="15.6"/>
  <cols>
    <col min="1" max="1" width="4.5546875" style="17" customWidth="1"/>
    <col min="2" max="2" width="55.44140625" style="17" customWidth="1"/>
    <col min="3" max="3" width="20.88671875" style="17" hidden="1" customWidth="1"/>
    <col min="4" max="4" width="33.109375" style="17" customWidth="1"/>
    <col min="5" max="5" width="17" style="17" customWidth="1"/>
    <col min="6" max="16384" width="9.109375" style="17"/>
  </cols>
  <sheetData>
    <row r="1" spans="1:9" ht="18">
      <c r="A1" s="500" t="s">
        <v>638</v>
      </c>
      <c r="B1" s="50"/>
      <c r="C1" s="50"/>
      <c r="D1" s="50"/>
      <c r="E1" s="50"/>
    </row>
    <row r="2" spans="1:9" ht="25.5" customHeight="1">
      <c r="A2" s="500" t="s">
        <v>922</v>
      </c>
      <c r="B2" s="50"/>
      <c r="C2" s="50"/>
      <c r="D2" s="50"/>
      <c r="E2" s="50"/>
    </row>
    <row r="3" spans="1:9" ht="25.5" customHeight="1">
      <c r="A3" s="500"/>
      <c r="B3" s="50"/>
      <c r="C3" s="50"/>
      <c r="D3" s="50"/>
      <c r="E3" s="50"/>
    </row>
    <row r="4" spans="1:9" ht="25.5" customHeight="1">
      <c r="A4" s="1203" t="s">
        <v>1144</v>
      </c>
      <c r="B4" s="50"/>
      <c r="C4" s="50"/>
      <c r="D4" s="50"/>
      <c r="E4" s="50"/>
    </row>
    <row r="5" spans="1:9" ht="18">
      <c r="A5" s="45"/>
      <c r="B5" s="45"/>
      <c r="C5" s="45"/>
      <c r="D5" s="754" t="s">
        <v>848</v>
      </c>
      <c r="E5" s="97" t="s">
        <v>263</v>
      </c>
    </row>
    <row r="6" spans="1:9" ht="22.5" customHeight="1">
      <c r="A6" s="44" t="s">
        <v>229</v>
      </c>
      <c r="B6" s="43" t="s">
        <v>645</v>
      </c>
      <c r="C6" s="43" t="s">
        <v>227</v>
      </c>
      <c r="D6" s="43" t="s">
        <v>228</v>
      </c>
      <c r="E6" s="68" t="s">
        <v>855</v>
      </c>
    </row>
    <row r="7" spans="1:9" ht="21" customHeight="1">
      <c r="A7" s="44"/>
      <c r="B7" s="43"/>
      <c r="C7" s="43"/>
      <c r="D7" s="43"/>
      <c r="E7" s="98" t="s">
        <v>84</v>
      </c>
    </row>
    <row r="8" spans="1:9" ht="16.2">
      <c r="A8" s="99" t="s">
        <v>265</v>
      </c>
      <c r="B8" s="100"/>
      <c r="C8" s="100"/>
      <c r="D8" s="101"/>
      <c r="E8" s="101"/>
    </row>
    <row r="9" spans="1:9" s="94" customFormat="1" ht="19.5" hidden="1" customHeight="1">
      <c r="A9" s="102" t="s">
        <v>76</v>
      </c>
      <c r="B9" s="102" t="s">
        <v>683</v>
      </c>
      <c r="C9" s="2886" t="s">
        <v>661</v>
      </c>
      <c r="D9" s="2909" t="s">
        <v>1140</v>
      </c>
      <c r="E9" s="531">
        <f>E10+E18</f>
        <v>0</v>
      </c>
    </row>
    <row r="10" spans="1:9" s="112" customFormat="1" ht="17.25" hidden="1" customHeight="1">
      <c r="A10" s="535" t="s">
        <v>293</v>
      </c>
      <c r="B10" s="529" t="s">
        <v>649</v>
      </c>
      <c r="C10" s="2887"/>
      <c r="D10" s="2909"/>
      <c r="E10" s="531">
        <f>SUM(E12:E17)</f>
        <v>0</v>
      </c>
      <c r="I10" s="528"/>
    </row>
    <row r="11" spans="1:9" s="112" customFormat="1" ht="27.6" hidden="1">
      <c r="A11" s="534"/>
      <c r="B11" s="530" t="s">
        <v>651</v>
      </c>
      <c r="C11" s="2887"/>
      <c r="D11" s="2909"/>
      <c r="E11" s="104"/>
      <c r="I11" s="528"/>
    </row>
    <row r="12" spans="1:9" s="112" customFormat="1" ht="17.25" hidden="1" customHeight="1">
      <c r="A12" s="534" t="s">
        <v>94</v>
      </c>
      <c r="B12" s="102" t="s">
        <v>650</v>
      </c>
      <c r="C12" s="2887"/>
      <c r="D12" s="2909"/>
      <c r="E12" s="104"/>
      <c r="I12" s="528"/>
    </row>
    <row r="13" spans="1:9" s="112" customFormat="1" ht="17.25" hidden="1" customHeight="1">
      <c r="A13" s="534" t="s">
        <v>95</v>
      </c>
      <c r="B13" s="102" t="s">
        <v>652</v>
      </c>
      <c r="C13" s="2887"/>
      <c r="D13" s="2909"/>
      <c r="E13" s="104"/>
      <c r="I13" s="528"/>
    </row>
    <row r="14" spans="1:9" s="112" customFormat="1" ht="17.25" hidden="1" customHeight="1">
      <c r="A14" s="534" t="s">
        <v>673</v>
      </c>
      <c r="B14" s="102" t="s">
        <v>653</v>
      </c>
      <c r="C14" s="2887"/>
      <c r="D14" s="2909"/>
      <c r="E14" s="104"/>
      <c r="I14" s="528"/>
    </row>
    <row r="15" spans="1:9" s="112" customFormat="1" ht="17.25" hidden="1" customHeight="1">
      <c r="A15" s="534" t="s">
        <v>674</v>
      </c>
      <c r="B15" s="102" t="s">
        <v>654</v>
      </c>
      <c r="C15" s="2887"/>
      <c r="D15" s="2909"/>
      <c r="E15" s="104"/>
      <c r="I15" s="528"/>
    </row>
    <row r="16" spans="1:9" s="112" customFormat="1" ht="17.25" hidden="1" customHeight="1">
      <c r="A16" s="534" t="s">
        <v>675</v>
      </c>
      <c r="B16" s="102" t="s">
        <v>655</v>
      </c>
      <c r="C16" s="2887"/>
      <c r="D16" s="2909"/>
      <c r="E16" s="104"/>
      <c r="I16" s="528"/>
    </row>
    <row r="17" spans="1:9" s="112" customFormat="1" ht="17.25" hidden="1" customHeight="1">
      <c r="A17" s="534" t="s">
        <v>676</v>
      </c>
      <c r="B17" s="102" t="s">
        <v>656</v>
      </c>
      <c r="C17" s="2887"/>
      <c r="D17" s="2909"/>
      <c r="E17" s="104"/>
      <c r="I17" s="528"/>
    </row>
    <row r="18" spans="1:9" s="112" customFormat="1" ht="17.25" hidden="1" customHeight="1">
      <c r="A18" s="536" t="s">
        <v>294</v>
      </c>
      <c r="B18" s="537" t="s">
        <v>657</v>
      </c>
      <c r="C18" s="2887"/>
      <c r="D18" s="2909"/>
      <c r="E18" s="541">
        <f>SUM(E20:E22)</f>
        <v>0</v>
      </c>
      <c r="I18" s="528"/>
    </row>
    <row r="19" spans="1:9" s="112" customFormat="1" ht="27.6" hidden="1">
      <c r="A19" s="538"/>
      <c r="B19" s="539" t="s">
        <v>651</v>
      </c>
      <c r="C19" s="2887"/>
      <c r="D19" s="2909"/>
      <c r="E19" s="542"/>
      <c r="I19" s="528"/>
    </row>
    <row r="20" spans="1:9" s="112" customFormat="1" ht="17.25" hidden="1" customHeight="1">
      <c r="A20" s="538" t="s">
        <v>677</v>
      </c>
      <c r="B20" s="540" t="s">
        <v>658</v>
      </c>
      <c r="C20" s="2887"/>
      <c r="D20" s="2909"/>
      <c r="E20" s="542"/>
      <c r="I20" s="528"/>
    </row>
    <row r="21" spans="1:9" s="112" customFormat="1" ht="17.25" hidden="1" customHeight="1">
      <c r="A21" s="538" t="s">
        <v>678</v>
      </c>
      <c r="B21" s="540" t="s">
        <v>659</v>
      </c>
      <c r="C21" s="2887"/>
      <c r="D21" s="2909"/>
      <c r="E21" s="542"/>
      <c r="I21" s="528"/>
    </row>
    <row r="22" spans="1:9" s="112" customFormat="1" ht="17.25" hidden="1" customHeight="1">
      <c r="A22" s="538" t="s">
        <v>679</v>
      </c>
      <c r="B22" s="540" t="s">
        <v>660</v>
      </c>
      <c r="C22" s="2888"/>
      <c r="D22" s="2909"/>
      <c r="E22" s="542"/>
      <c r="I22" s="528"/>
    </row>
    <row r="23" spans="1:9" s="112" customFormat="1" ht="17.25" hidden="1" customHeight="1">
      <c r="A23" s="532" t="s">
        <v>77</v>
      </c>
      <c r="B23" s="102" t="s">
        <v>670</v>
      </c>
      <c r="C23" s="2886" t="s">
        <v>665</v>
      </c>
      <c r="D23" s="2909"/>
      <c r="E23" s="104"/>
      <c r="I23" s="528"/>
    </row>
    <row r="24" spans="1:9" s="112" customFormat="1" ht="31.2">
      <c r="A24" s="532">
        <v>1</v>
      </c>
      <c r="B24" s="102" t="s">
        <v>662</v>
      </c>
      <c r="C24" s="2887"/>
      <c r="D24" s="2909"/>
      <c r="E24" s="104">
        <f>'Работы и услуги 2011г.'!E12*1.06</f>
        <v>7.2080000000000002</v>
      </c>
      <c r="I24" s="528"/>
    </row>
    <row r="25" spans="1:9" s="112" customFormat="1" ht="31.2">
      <c r="A25" s="532">
        <v>2</v>
      </c>
      <c r="B25" s="102" t="s">
        <v>663</v>
      </c>
      <c r="C25" s="2887"/>
      <c r="D25" s="2909"/>
      <c r="E25" s="104">
        <f>'Работы и услуги 2011г.'!E10*1.06</f>
        <v>143.80702000000002</v>
      </c>
      <c r="H25" s="533">
        <f>SUM(E23:E25)+E9</f>
        <v>151.01502000000002</v>
      </c>
      <c r="I25" s="528"/>
    </row>
    <row r="26" spans="1:9" s="112" customFormat="1" ht="34.5" hidden="1" customHeight="1">
      <c r="A26" s="532" t="s">
        <v>80</v>
      </c>
      <c r="B26" s="102" t="s">
        <v>648</v>
      </c>
      <c r="C26" s="2887"/>
      <c r="D26" s="2909"/>
      <c r="E26" s="104"/>
      <c r="I26" s="528">
        <f>(71.4+71+40+30)/1.18</f>
        <v>180.00000000000003</v>
      </c>
    </row>
    <row r="27" spans="1:9" s="119" customFormat="1" ht="28.5" hidden="1" customHeight="1">
      <c r="A27" s="549" t="s">
        <v>81</v>
      </c>
      <c r="B27" s="550" t="s">
        <v>685</v>
      </c>
      <c r="C27" s="2888"/>
      <c r="D27" s="551"/>
      <c r="E27" s="552"/>
      <c r="I27" s="553"/>
    </row>
    <row r="28" spans="1:9" s="94" customFormat="1" ht="46.8">
      <c r="A28" s="102">
        <v>3</v>
      </c>
      <c r="B28" s="102" t="s">
        <v>852</v>
      </c>
      <c r="C28" s="103" t="s">
        <v>231</v>
      </c>
      <c r="D28" s="219"/>
      <c r="E28" s="104">
        <f>'Работы и услуги 2011г.'!E13+'Работы и услуги 2011г.'!E14+'Работы и услуги 2011г.'!E15</f>
        <v>123.72883</v>
      </c>
    </row>
    <row r="29" spans="1:9" s="94" customFormat="1" ht="60.6">
      <c r="A29" s="102">
        <v>4</v>
      </c>
      <c r="B29" s="102" t="s">
        <v>853</v>
      </c>
      <c r="C29" s="221" t="s">
        <v>671</v>
      </c>
      <c r="D29" s="219" t="s">
        <v>672</v>
      </c>
      <c r="E29" s="104">
        <f>'Работы и услуги 2011г.'!E11</f>
        <v>30</v>
      </c>
    </row>
    <row r="30" spans="1:9" s="108" customFormat="1" ht="26.25" customHeight="1">
      <c r="A30" s="106"/>
      <c r="B30" s="106" t="s">
        <v>640</v>
      </c>
      <c r="C30" s="106"/>
      <c r="D30" s="106"/>
      <c r="E30" s="107">
        <f>SUM(E23:E29)+E9</f>
        <v>304.74385000000001</v>
      </c>
    </row>
    <row r="31" spans="1:9" s="108" customFormat="1" ht="18" hidden="1" customHeight="1">
      <c r="A31" s="106"/>
      <c r="B31" s="543" t="s">
        <v>682</v>
      </c>
      <c r="C31" s="106"/>
      <c r="D31" s="106"/>
      <c r="E31" s="546">
        <f>E9+E27</f>
        <v>0</v>
      </c>
    </row>
    <row r="32" spans="1:9" ht="16.2">
      <c r="A32" s="99" t="s">
        <v>681</v>
      </c>
      <c r="B32" s="100"/>
      <c r="C32" s="100"/>
      <c r="D32" s="101"/>
      <c r="E32" s="101"/>
    </row>
    <row r="33" spans="1:9" s="112" customFormat="1" ht="55.5" customHeight="1">
      <c r="A33" s="532">
        <v>5</v>
      </c>
      <c r="B33" s="102" t="s">
        <v>666</v>
      </c>
      <c r="C33" s="221" t="s">
        <v>665</v>
      </c>
      <c r="D33" s="219"/>
      <c r="E33" s="104">
        <f>8+4.5+7.5+12</f>
        <v>32</v>
      </c>
      <c r="I33" s="528"/>
    </row>
    <row r="34" spans="1:9" s="112" customFormat="1">
      <c r="A34" s="532">
        <v>6</v>
      </c>
      <c r="B34" s="102" t="s">
        <v>664</v>
      </c>
      <c r="C34" s="221"/>
      <c r="D34" s="219"/>
      <c r="E34" s="1126">
        <f>ROUND((50.2958970767035),1)</f>
        <v>50.3</v>
      </c>
      <c r="H34" s="1111">
        <v>50.295897076703497</v>
      </c>
      <c r="I34" s="528"/>
    </row>
    <row r="35" spans="1:9" s="112" customFormat="1" ht="46.8" hidden="1">
      <c r="A35" s="532">
        <v>7</v>
      </c>
      <c r="B35" s="102" t="s">
        <v>667</v>
      </c>
      <c r="C35" s="221"/>
      <c r="D35" s="219"/>
      <c r="E35" s="104"/>
      <c r="I35" s="528"/>
    </row>
    <row r="36" spans="1:9" s="112" customFormat="1" hidden="1">
      <c r="A36" s="532">
        <v>8</v>
      </c>
      <c r="B36" s="102" t="s">
        <v>668</v>
      </c>
      <c r="C36" s="221"/>
      <c r="D36" s="219"/>
      <c r="E36" s="104"/>
      <c r="G36" s="533">
        <f>SUM(E33:E37)</f>
        <v>82.3</v>
      </c>
      <c r="I36" s="528"/>
    </row>
    <row r="37" spans="1:9" s="112" customFormat="1" ht="31.2" hidden="1">
      <c r="A37" s="532">
        <v>9</v>
      </c>
      <c r="B37" s="102" t="s">
        <v>669</v>
      </c>
      <c r="C37" s="221"/>
      <c r="D37" s="219"/>
      <c r="E37" s="104"/>
      <c r="I37" s="528"/>
    </row>
    <row r="38" spans="1:9" s="94" customFormat="1" ht="32.25" customHeight="1">
      <c r="A38" s="102">
        <v>7</v>
      </c>
      <c r="B38" s="102" t="s">
        <v>701</v>
      </c>
      <c r="C38" s="103" t="s">
        <v>636</v>
      </c>
      <c r="D38" s="219" t="s">
        <v>925</v>
      </c>
      <c r="E38" s="104">
        <f>'Реестр всп.мат.2010 пром.+ПСХ'!E94</f>
        <v>763.3718876144618</v>
      </c>
      <c r="H38" s="94">
        <f>710.2-'Реестр всп.мат.2010 пром.+ПСХ'!C89</f>
        <v>617.03221530883479</v>
      </c>
    </row>
    <row r="39" spans="1:9" s="108" customFormat="1" ht="26.25" customHeight="1">
      <c r="A39" s="106"/>
      <c r="B39" s="106" t="s">
        <v>641</v>
      </c>
      <c r="C39" s="106"/>
      <c r="D39" s="106"/>
      <c r="E39" s="107">
        <f>SUM(E33:E38)</f>
        <v>845.67188761446175</v>
      </c>
    </row>
    <row r="40" spans="1:9" s="108" customFormat="1" ht="26.25" customHeight="1">
      <c r="A40" s="106"/>
      <c r="B40" s="106" t="s">
        <v>248</v>
      </c>
      <c r="C40" s="106"/>
      <c r="D40" s="106"/>
      <c r="E40" s="107">
        <f>E30+E39</f>
        <v>1150.4157376144617</v>
      </c>
      <c r="G40" s="554">
        <f>1115-90+E38</f>
        <v>1788.3718876144617</v>
      </c>
      <c r="H40" s="108">
        <v>1087.2641990986945</v>
      </c>
      <c r="I40" s="820">
        <f>'[14]РСЭО 2012г.'!$E$38+'Реестр всп.мат.2010 пром.+ПСХ'!C89</f>
        <v>1180.5156346911654</v>
      </c>
    </row>
    <row r="41" spans="1:9" s="94" customFormat="1" ht="11.25" customHeight="1">
      <c r="A41" s="105"/>
      <c r="B41" s="105"/>
      <c r="C41" s="105"/>
      <c r="D41" s="105"/>
      <c r="E41" s="105"/>
      <c r="I41" s="1127">
        <f>E40-H40</f>
        <v>63.151538515767243</v>
      </c>
    </row>
    <row r="42" spans="1:9" ht="16.2" hidden="1">
      <c r="D42" s="547" t="s">
        <v>851</v>
      </c>
      <c r="I42" s="526">
        <f>'Реестр всп.мат.2010 пром.+ПСХ'!J77*1.07</f>
        <v>821.27141502824884</v>
      </c>
    </row>
    <row r="43" spans="1:9" s="109" customFormat="1" hidden="1">
      <c r="B43" s="110" t="s">
        <v>850</v>
      </c>
      <c r="D43" s="548">
        <f>'Реестр всп.мат.2010 пром.+ПСХ'!F87*1.079*1.06</f>
        <v>100.52803968176734</v>
      </c>
      <c r="E43" s="108"/>
    </row>
    <row r="44" spans="1:9" s="55" customFormat="1" ht="22.5" customHeight="1">
      <c r="A44" s="55" t="s">
        <v>266</v>
      </c>
      <c r="C44" s="111"/>
      <c r="D44" s="111"/>
      <c r="E44" s="111"/>
    </row>
    <row r="45" spans="1:9" s="55" customFormat="1" ht="22.5" customHeight="1">
      <c r="A45" s="55" t="s">
        <v>924</v>
      </c>
      <c r="C45" s="111"/>
      <c r="D45" s="111"/>
      <c r="E45" s="111"/>
    </row>
    <row r="46" spans="1:9" s="55" customFormat="1" ht="22.5" customHeight="1">
      <c r="A46" s="55" t="s">
        <v>1141</v>
      </c>
      <c r="C46" s="111"/>
      <c r="D46" s="111"/>
      <c r="E46" s="111"/>
    </row>
    <row r="47" spans="1:9" s="55" customFormat="1" ht="22.5" customHeight="1">
      <c r="C47" s="111"/>
      <c r="D47" s="111"/>
      <c r="E47" s="111"/>
    </row>
    <row r="48" spans="1:9">
      <c r="C48" s="42"/>
      <c r="D48" s="42"/>
      <c r="E48" s="42"/>
    </row>
    <row r="63" spans="1:2">
      <c r="A63" s="51" t="s">
        <v>227</v>
      </c>
      <c r="B63" s="42"/>
    </row>
    <row r="64" spans="1:2">
      <c r="A64" s="51" t="s">
        <v>236</v>
      </c>
    </row>
  </sheetData>
  <mergeCells count="3">
    <mergeCell ref="C9:C22"/>
    <mergeCell ref="C23:C27"/>
    <mergeCell ref="D9:D26"/>
  </mergeCells>
  <printOptions horizontalCentered="1"/>
  <pageMargins left="0.78740157480314965" right="0.78740157480314965" top="0.78740157480314965" bottom="3.937007874015748E-2" header="3.937007874015748E-2" footer="3.937007874015748E-2"/>
  <pageSetup paperSize="9" scale="77" orientation="portrait" r:id="rId1"/>
  <headerFooter alignWithMargins="0"/>
  <colBreaks count="1" manualBreakCount="1">
    <brk id="5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0">
    <tabColor rgb="FFFFC000"/>
  </sheetPr>
  <dimension ref="A1:L27"/>
  <sheetViews>
    <sheetView zoomScaleNormal="100" workbookViewId="0">
      <selection activeCell="K8" sqref="K8"/>
    </sheetView>
  </sheetViews>
  <sheetFormatPr defaultColWidth="9.109375" defaultRowHeight="13.2"/>
  <cols>
    <col min="1" max="1" width="3.33203125" style="69" customWidth="1"/>
    <col min="2" max="2" width="61.6640625" style="69" customWidth="1"/>
    <col min="3" max="3" width="19.44140625" style="69" customWidth="1"/>
    <col min="4" max="5" width="9.109375" style="69"/>
    <col min="6" max="6" width="10.109375" style="69" customWidth="1"/>
    <col min="7" max="16384" width="9.109375" style="69"/>
  </cols>
  <sheetData>
    <row r="1" spans="1:9" ht="27" customHeight="1">
      <c r="A1" s="487" t="s">
        <v>623</v>
      </c>
      <c r="B1" s="71"/>
      <c r="C1" s="71"/>
    </row>
    <row r="2" spans="1:9" ht="27" customHeight="1">
      <c r="A2" s="487" t="s">
        <v>267</v>
      </c>
      <c r="B2" s="71"/>
      <c r="C2" s="71"/>
    </row>
    <row r="3" spans="1:9" ht="27" customHeight="1">
      <c r="A3" s="487" t="s">
        <v>727</v>
      </c>
      <c r="B3" s="71"/>
      <c r="C3" s="71"/>
    </row>
    <row r="4" spans="1:9" ht="20.25" customHeight="1">
      <c r="A4" s="487"/>
      <c r="B4" s="71"/>
      <c r="C4" s="71"/>
    </row>
    <row r="5" spans="1:9" ht="13.5" customHeight="1">
      <c r="A5" s="72"/>
      <c r="B5" s="72"/>
      <c r="C5" s="488"/>
    </row>
    <row r="6" spans="1:9" s="89" customFormat="1" ht="39" customHeight="1">
      <c r="A6" s="2964" t="s">
        <v>229</v>
      </c>
      <c r="B6" s="2964" t="s">
        <v>247</v>
      </c>
      <c r="C6" s="2967" t="s">
        <v>622</v>
      </c>
    </row>
    <row r="7" spans="1:9" s="89" customFormat="1" ht="13.8">
      <c r="A7" s="2965"/>
      <c r="B7" s="2965"/>
      <c r="C7" s="2968"/>
    </row>
    <row r="8" spans="1:9" s="89" customFormat="1" ht="85.5" customHeight="1">
      <c r="A8" s="2966"/>
      <c r="B8" s="2966"/>
      <c r="C8" s="2969"/>
    </row>
    <row r="9" spans="1:9" s="74" customFormat="1" ht="42">
      <c r="A9" s="768">
        <v>1</v>
      </c>
      <c r="B9" s="91" t="s">
        <v>381</v>
      </c>
      <c r="C9" s="766">
        <f>5*5</f>
        <v>25</v>
      </c>
    </row>
    <row r="10" spans="1:9" s="74" customFormat="1" ht="36" customHeight="1">
      <c r="A10" s="768">
        <v>2</v>
      </c>
      <c r="B10" s="91" t="s">
        <v>256</v>
      </c>
      <c r="C10" s="766">
        <f>5*5</f>
        <v>25</v>
      </c>
    </row>
    <row r="11" spans="1:9" s="74" customFormat="1" ht="31.5" customHeight="1">
      <c r="A11" s="768">
        <v>3</v>
      </c>
      <c r="B11" s="91" t="s">
        <v>255</v>
      </c>
      <c r="C11" s="767">
        <f>2*20</f>
        <v>40</v>
      </c>
    </row>
    <row r="12" spans="1:9" s="74" customFormat="1" ht="35.25" customHeight="1">
      <c r="A12" s="768">
        <v>4</v>
      </c>
      <c r="B12" s="91" t="s">
        <v>376</v>
      </c>
      <c r="C12" s="767">
        <f>2*1+3*5</f>
        <v>17</v>
      </c>
    </row>
    <row r="13" spans="1:9" s="74" customFormat="1" ht="34.5" hidden="1" customHeight="1">
      <c r="A13" s="768">
        <v>5</v>
      </c>
      <c r="B13" s="91"/>
      <c r="C13" s="767"/>
      <c r="I13" s="491"/>
    </row>
    <row r="14" spans="1:9" s="90" customFormat="1" ht="24" customHeight="1">
      <c r="A14" s="769"/>
      <c r="B14" s="770" t="s">
        <v>158</v>
      </c>
      <c r="C14" s="771">
        <f>SUM(C9:C13)</f>
        <v>107</v>
      </c>
      <c r="I14" s="491"/>
    </row>
    <row r="15" spans="1:9" ht="15.6">
      <c r="A15" s="70"/>
      <c r="B15" s="70"/>
      <c r="C15" s="70"/>
      <c r="I15" s="492"/>
    </row>
    <row r="16" spans="1:9" ht="15.6">
      <c r="A16" s="70"/>
      <c r="B16" s="70"/>
      <c r="C16" s="70"/>
      <c r="E16" s="489" t="s">
        <v>624</v>
      </c>
      <c r="F16" s="489"/>
      <c r="G16" s="490" t="s">
        <v>627</v>
      </c>
      <c r="H16" s="490" t="s">
        <v>269</v>
      </c>
    </row>
    <row r="17" spans="1:12" s="74" customFormat="1" ht="13.8">
      <c r="A17" s="73"/>
      <c r="E17" s="489">
        <f>552.6</f>
        <v>552.6</v>
      </c>
      <c r="F17" s="489" t="s">
        <v>625</v>
      </c>
      <c r="G17" s="490">
        <v>320</v>
      </c>
      <c r="H17" s="491"/>
    </row>
    <row r="18" spans="1:12" s="28" customFormat="1" ht="15.6">
      <c r="B18" s="48"/>
      <c r="C18" s="17"/>
      <c r="E18" s="493">
        <f>E17/242</f>
        <v>2.2834710743801652</v>
      </c>
      <c r="F18" s="489" t="s">
        <v>626</v>
      </c>
      <c r="G18" s="494">
        <f>320/227</f>
        <v>1.4096916299559472</v>
      </c>
      <c r="H18" s="495">
        <f>G18/9*12</f>
        <v>1.879588839941263</v>
      </c>
      <c r="L18" s="49"/>
    </row>
    <row r="19" spans="1:12" s="74" customFormat="1" ht="13.8">
      <c r="A19" s="73"/>
    </row>
    <row r="20" spans="1:12" s="669" customFormat="1" ht="23.25" customHeight="1">
      <c r="A20" s="731" t="s">
        <v>731</v>
      </c>
      <c r="B20" s="667"/>
      <c r="C20" s="668"/>
      <c r="G20" s="670"/>
    </row>
    <row r="21" spans="1:12" s="669" customFormat="1" ht="15" customHeight="1">
      <c r="A21" s="731" t="s">
        <v>761</v>
      </c>
      <c r="B21" s="671"/>
      <c r="C21" s="672" t="s">
        <v>733</v>
      </c>
    </row>
    <row r="26" spans="1:12" s="93" customFormat="1" ht="15.6" hidden="1">
      <c r="A26" s="92" t="s">
        <v>257</v>
      </c>
      <c r="C26" s="93" t="s">
        <v>258</v>
      </c>
    </row>
    <row r="27" spans="1:12">
      <c r="A27" s="88"/>
    </row>
  </sheetData>
  <mergeCells count="3">
    <mergeCell ref="A6:A8"/>
    <mergeCell ref="B6:B8"/>
    <mergeCell ref="C6:C8"/>
  </mergeCells>
  <phoneticPr fontId="20" type="noConversion"/>
  <printOptions horizontalCentered="1"/>
  <pageMargins left="0.78740157480314965" right="0.78740157480314965" top="0.98425196850393704" bottom="0.11811023622047245" header="0.51181102362204722" footer="3.937007874015748E-2"/>
  <pageSetup paperSize="9" scale="95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1">
    <tabColor rgb="FF7030A0"/>
  </sheetPr>
  <dimension ref="A1:H44"/>
  <sheetViews>
    <sheetView workbookViewId="0">
      <selection activeCell="K8" sqref="K8"/>
    </sheetView>
  </sheetViews>
  <sheetFormatPr defaultColWidth="9.109375" defaultRowHeight="13.2"/>
  <cols>
    <col min="1" max="1" width="5.5546875" style="6" customWidth="1"/>
    <col min="2" max="2" width="42" style="6" customWidth="1"/>
    <col min="3" max="4" width="21.44140625" style="6" customWidth="1"/>
    <col min="5" max="16384" width="9.109375" style="6"/>
  </cols>
  <sheetData>
    <row r="1" spans="1:7">
      <c r="D1" s="7" t="s">
        <v>53</v>
      </c>
    </row>
    <row r="2" spans="1:7">
      <c r="A2" s="4"/>
    </row>
    <row r="3" spans="1:7" ht="15.6">
      <c r="A3" s="57" t="s">
        <v>238</v>
      </c>
      <c r="B3" s="58"/>
      <c r="C3" s="58"/>
      <c r="D3" s="58"/>
    </row>
    <row r="4" spans="1:7" ht="18" customHeight="1">
      <c r="A4" s="57" t="s">
        <v>239</v>
      </c>
      <c r="B4" s="57"/>
      <c r="C4" s="57"/>
      <c r="D4" s="57"/>
    </row>
    <row r="5" spans="1:7" ht="18" customHeight="1">
      <c r="A5" s="57" t="s">
        <v>728</v>
      </c>
      <c r="B5" s="57"/>
      <c r="C5" s="57"/>
      <c r="D5" s="57"/>
      <c r="E5" s="46"/>
      <c r="F5" s="46"/>
      <c r="G5" s="46"/>
    </row>
    <row r="6" spans="1:7" ht="42" customHeight="1">
      <c r="A6" s="57"/>
      <c r="B6" s="655"/>
      <c r="C6" s="656"/>
      <c r="D6" s="657"/>
      <c r="E6" s="46"/>
      <c r="F6" s="46"/>
      <c r="G6" s="46"/>
    </row>
    <row r="7" spans="1:7">
      <c r="D7" s="7" t="s">
        <v>24</v>
      </c>
    </row>
    <row r="8" spans="1:7">
      <c r="A8" s="13" t="s">
        <v>54</v>
      </c>
      <c r="B8" s="13" t="s">
        <v>291</v>
      </c>
      <c r="C8" s="13" t="s">
        <v>309</v>
      </c>
      <c r="D8" s="13" t="s">
        <v>303</v>
      </c>
    </row>
    <row r="9" spans="1:7" ht="39.6">
      <c r="A9" s="10" t="s">
        <v>55</v>
      </c>
      <c r="B9" s="64" t="s">
        <v>243</v>
      </c>
      <c r="C9" s="75"/>
      <c r="D9" s="75"/>
    </row>
    <row r="10" spans="1:7" ht="39.6">
      <c r="A10" s="10" t="s">
        <v>77</v>
      </c>
      <c r="B10" s="12" t="s">
        <v>242</v>
      </c>
      <c r="C10" s="75"/>
      <c r="D10" s="75"/>
    </row>
    <row r="11" spans="1:7" ht="19.5" customHeight="1">
      <c r="A11" s="10" t="s">
        <v>78</v>
      </c>
      <c r="B11" s="5" t="s">
        <v>56</v>
      </c>
      <c r="C11" s="75"/>
      <c r="D11" s="75"/>
    </row>
    <row r="12" spans="1:7" ht="27.75" customHeight="1">
      <c r="A12" s="10" t="s">
        <v>79</v>
      </c>
      <c r="B12" s="5" t="s">
        <v>57</v>
      </c>
      <c r="C12" s="75"/>
      <c r="D12" s="75"/>
    </row>
    <row r="13" spans="1:7" ht="27" customHeight="1">
      <c r="A13" s="10" t="s">
        <v>80</v>
      </c>
      <c r="B13" s="5" t="s">
        <v>58</v>
      </c>
      <c r="C13" s="75"/>
      <c r="D13" s="75"/>
      <c r="F13" s="34"/>
      <c r="G13" s="113"/>
    </row>
    <row r="14" spans="1:7" ht="23.25" customHeight="1">
      <c r="A14" s="10" t="s">
        <v>81</v>
      </c>
      <c r="B14" s="5" t="s">
        <v>59</v>
      </c>
      <c r="C14" s="75"/>
      <c r="D14" s="75"/>
    </row>
    <row r="15" spans="1:7" ht="19.5" customHeight="1">
      <c r="A15" s="10" t="s">
        <v>82</v>
      </c>
      <c r="B15" s="5" t="s">
        <v>60</v>
      </c>
      <c r="C15" s="81">
        <f>'Амортизация цех10г. - 11г.'!K7*'Амортизация цех10г. - 11г.'!I13/1000</f>
        <v>0</v>
      </c>
      <c r="D15" s="81">
        <f>C15</f>
        <v>0</v>
      </c>
      <c r="E15" s="37"/>
    </row>
    <row r="16" spans="1:7" ht="27.75" customHeight="1">
      <c r="A16" s="14"/>
    </row>
    <row r="17" spans="1:8" ht="27.75" customHeight="1"/>
    <row r="18" spans="1:8" s="669" customFormat="1" ht="23.25" customHeight="1">
      <c r="A18" s="731" t="s">
        <v>731</v>
      </c>
      <c r="B18" s="667"/>
      <c r="C18" s="668"/>
      <c r="H18" s="670"/>
    </row>
    <row r="19" spans="1:8" s="669" customFormat="1" ht="15" customHeight="1">
      <c r="A19" s="731" t="s">
        <v>761</v>
      </c>
      <c r="B19" s="671"/>
      <c r="C19" s="668"/>
      <c r="D19" s="672" t="s">
        <v>733</v>
      </c>
    </row>
    <row r="20" spans="1:8" s="28" customFormat="1"/>
    <row r="21" spans="1:8" s="28" customFormat="1"/>
    <row r="22" spans="1:8">
      <c r="A22" s="2962"/>
      <c r="B22" s="2963"/>
      <c r="C22" s="2963"/>
      <c r="D22" s="2963"/>
      <c r="E22" s="2963"/>
      <c r="F22" s="2963"/>
      <c r="G22" s="2963"/>
    </row>
    <row r="43" spans="2:2">
      <c r="B43" s="51" t="s">
        <v>227</v>
      </c>
    </row>
    <row r="44" spans="2:2">
      <c r="B44" s="51" t="s">
        <v>236</v>
      </c>
    </row>
  </sheetData>
  <mergeCells count="1">
    <mergeCell ref="A22:G22"/>
  </mergeCells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2">
    <tabColor rgb="FF7030A0"/>
  </sheetPr>
  <dimension ref="A1:O25"/>
  <sheetViews>
    <sheetView zoomScaleNormal="100" workbookViewId="0">
      <selection activeCell="K8" sqref="K8"/>
    </sheetView>
  </sheetViews>
  <sheetFormatPr defaultColWidth="9.109375" defaultRowHeight="15.6"/>
  <cols>
    <col min="1" max="1" width="49.5546875" style="119" customWidth="1"/>
    <col min="2" max="2" width="8.109375" style="119" customWidth="1"/>
    <col min="3" max="3" width="7" style="119" customWidth="1"/>
    <col min="4" max="4" width="12.33203125" style="119" customWidth="1"/>
    <col min="5" max="5" width="12.109375" style="119" customWidth="1"/>
    <col min="6" max="6" width="11.5546875" style="119" hidden="1" customWidth="1"/>
    <col min="7" max="7" width="11.5546875" style="119" customWidth="1"/>
    <col min="8" max="8" width="12.33203125" style="119" hidden="1" customWidth="1"/>
    <col min="9" max="9" width="11.44140625" style="119" customWidth="1"/>
    <col min="10" max="10" width="12.109375" style="119" customWidth="1"/>
    <col min="11" max="11" width="11.33203125" style="119" customWidth="1"/>
    <col min="12" max="12" width="12.5546875" style="119" customWidth="1"/>
    <col min="13" max="13" width="8.109375" style="119" hidden="1" customWidth="1"/>
    <col min="14" max="14" width="9.109375" style="119"/>
    <col min="15" max="15" width="10.109375" style="119" customWidth="1"/>
    <col min="16" max="16384" width="9.109375" style="119"/>
  </cols>
  <sheetData>
    <row r="1" spans="1:15" ht="18">
      <c r="A1" s="818" t="s">
        <v>241</v>
      </c>
      <c r="B1" s="818"/>
      <c r="C1" s="818"/>
      <c r="D1" s="818"/>
      <c r="E1" s="818"/>
      <c r="F1" s="818"/>
      <c r="G1" s="818"/>
      <c r="H1" s="818"/>
      <c r="I1" s="818"/>
      <c r="J1" s="818"/>
      <c r="K1" s="818"/>
      <c r="L1" s="818"/>
      <c r="M1" s="819"/>
    </row>
    <row r="2" spans="1:15" ht="18">
      <c r="A2" s="818" t="s">
        <v>694</v>
      </c>
      <c r="B2" s="818"/>
      <c r="C2" s="818"/>
      <c r="D2" s="818"/>
      <c r="E2" s="818"/>
      <c r="F2" s="818"/>
      <c r="G2" s="818"/>
      <c r="H2" s="818"/>
      <c r="I2" s="818"/>
      <c r="J2" s="818"/>
      <c r="K2" s="818"/>
      <c r="L2" s="818"/>
      <c r="M2" s="819"/>
    </row>
    <row r="3" spans="1:15" ht="18">
      <c r="A3" s="818" t="s">
        <v>642</v>
      </c>
      <c r="B3" s="818"/>
      <c r="C3" s="818"/>
      <c r="D3" s="818"/>
      <c r="E3" s="818"/>
      <c r="F3" s="818"/>
      <c r="G3" s="818"/>
      <c r="H3" s="818"/>
      <c r="I3" s="818"/>
      <c r="J3" s="818"/>
      <c r="K3" s="818"/>
      <c r="L3" s="818"/>
      <c r="M3" s="819"/>
    </row>
    <row r="4" spans="1:15">
      <c r="H4" s="820" t="s">
        <v>647</v>
      </c>
      <c r="J4" s="821"/>
      <c r="L4" s="821" t="s">
        <v>225</v>
      </c>
      <c r="M4" s="822"/>
    </row>
    <row r="5" spans="1:15" ht="64.5" customHeight="1">
      <c r="A5" s="823" t="s">
        <v>645</v>
      </c>
      <c r="B5" s="824" t="s">
        <v>261</v>
      </c>
      <c r="C5" s="824" t="s">
        <v>644</v>
      </c>
      <c r="D5" s="823" t="s">
        <v>377</v>
      </c>
      <c r="E5" s="823" t="s">
        <v>687</v>
      </c>
      <c r="F5" s="823" t="s">
        <v>646</v>
      </c>
      <c r="G5" s="823" t="s">
        <v>688</v>
      </c>
      <c r="H5" s="823" t="s">
        <v>689</v>
      </c>
      <c r="I5" s="823" t="s">
        <v>690</v>
      </c>
      <c r="J5" s="823" t="s">
        <v>691</v>
      </c>
      <c r="K5" s="823" t="s">
        <v>692</v>
      </c>
      <c r="L5" s="823" t="s">
        <v>693</v>
      </c>
      <c r="M5" s="652" t="s">
        <v>686</v>
      </c>
      <c r="O5" s="825"/>
    </row>
    <row r="6" spans="1:15" ht="25.5" customHeight="1">
      <c r="A6" s="826" t="s">
        <v>697</v>
      </c>
      <c r="B6" s="827">
        <v>100020</v>
      </c>
      <c r="C6" s="828">
        <v>1957</v>
      </c>
      <c r="D6" s="829"/>
      <c r="E6" s="830"/>
      <c r="F6" s="653"/>
      <c r="G6" s="830"/>
      <c r="H6" s="830">
        <f>E6-G6*10</f>
        <v>0</v>
      </c>
      <c r="I6" s="830">
        <f>G6*12</f>
        <v>0</v>
      </c>
      <c r="J6" s="830">
        <f>E6+F6-I6</f>
        <v>0</v>
      </c>
      <c r="K6" s="830">
        <f>I6</f>
        <v>0</v>
      </c>
      <c r="L6" s="830">
        <f>J6-K6</f>
        <v>0</v>
      </c>
      <c r="M6" s="830" t="e">
        <f>K6/D6*100</f>
        <v>#DIV/0!</v>
      </c>
      <c r="O6" s="831"/>
    </row>
    <row r="7" spans="1:15" s="753" customFormat="1" ht="25.5" customHeight="1">
      <c r="A7" s="832" t="s">
        <v>158</v>
      </c>
      <c r="B7" s="833"/>
      <c r="C7" s="834"/>
      <c r="D7" s="835">
        <f>D6</f>
        <v>0</v>
      </c>
      <c r="E7" s="836">
        <f t="shared" ref="E7:M7" si="0">E6</f>
        <v>0</v>
      </c>
      <c r="F7" s="812">
        <f t="shared" si="0"/>
        <v>0</v>
      </c>
      <c r="G7" s="836">
        <f t="shared" si="0"/>
        <v>0</v>
      </c>
      <c r="H7" s="836">
        <f t="shared" si="0"/>
        <v>0</v>
      </c>
      <c r="I7" s="836">
        <f t="shared" si="0"/>
        <v>0</v>
      </c>
      <c r="J7" s="836">
        <f t="shared" si="0"/>
        <v>0</v>
      </c>
      <c r="K7" s="836">
        <f t="shared" si="0"/>
        <v>0</v>
      </c>
      <c r="L7" s="836">
        <f t="shared" si="0"/>
        <v>0</v>
      </c>
      <c r="M7" s="836" t="e">
        <f t="shared" si="0"/>
        <v>#DIV/0!</v>
      </c>
      <c r="O7" s="837"/>
    </row>
    <row r="8" spans="1:15">
      <c r="A8" s="838"/>
      <c r="B8" s="838"/>
      <c r="C8" s="838"/>
      <c r="D8" s="838"/>
      <c r="E8" s="839"/>
      <c r="F8" s="839"/>
      <c r="G8" s="839"/>
      <c r="H8" s="839"/>
      <c r="I8" s="839"/>
      <c r="J8" s="839"/>
      <c r="K8" s="839"/>
      <c r="L8" s="839"/>
      <c r="M8" s="839"/>
    </row>
    <row r="9" spans="1:15" s="846" customFormat="1" ht="22.5" hidden="1" customHeight="1">
      <c r="A9" s="840" t="s">
        <v>695</v>
      </c>
      <c r="B9" s="841"/>
      <c r="C9" s="842"/>
      <c r="D9" s="842"/>
      <c r="E9" s="842"/>
      <c r="F9" s="842"/>
      <c r="G9" s="842"/>
      <c r="H9" s="843"/>
      <c r="I9" s="844"/>
      <c r="J9" s="844"/>
      <c r="K9" s="845"/>
      <c r="L9" s="845"/>
      <c r="M9" s="497"/>
      <c r="N9" s="498"/>
    </row>
    <row r="10" spans="1:15" s="855" customFormat="1" ht="17.25" hidden="1" customHeight="1">
      <c r="A10" s="840" t="s">
        <v>628</v>
      </c>
      <c r="B10" s="847"/>
      <c r="C10" s="848"/>
      <c r="D10" s="848"/>
      <c r="E10" s="848"/>
      <c r="F10" s="848"/>
      <c r="G10" s="848"/>
      <c r="H10" s="849"/>
      <c r="I10" s="850"/>
      <c r="J10" s="851"/>
      <c r="K10" s="852"/>
      <c r="L10" s="853"/>
      <c r="M10" s="852"/>
      <c r="N10" s="854"/>
    </row>
    <row r="11" spans="1:15" s="854" customFormat="1" ht="21" hidden="1" customHeight="1">
      <c r="A11" s="856" t="s">
        <v>629</v>
      </c>
      <c r="B11" s="857"/>
      <c r="C11" s="848"/>
      <c r="D11" s="858"/>
      <c r="F11" s="859"/>
      <c r="G11" s="860"/>
      <c r="H11" s="853"/>
      <c r="I11" s="852"/>
    </row>
    <row r="12" spans="1:15" s="854" customFormat="1" ht="21" hidden="1" customHeight="1">
      <c r="A12" s="856" t="s">
        <v>630</v>
      </c>
      <c r="B12" s="857"/>
      <c r="C12" s="848"/>
      <c r="D12" s="858"/>
      <c r="E12" s="859"/>
      <c r="F12" s="861"/>
      <c r="H12" s="853"/>
      <c r="I12" s="852"/>
      <c r="K12" s="862"/>
      <c r="L12" s="863"/>
    </row>
    <row r="13" spans="1:15" s="854" customFormat="1" ht="21" hidden="1" customHeight="1">
      <c r="B13" s="857"/>
      <c r="C13" s="848"/>
      <c r="E13" s="864"/>
      <c r="G13" s="865" t="s">
        <v>696</v>
      </c>
      <c r="I13" s="866">
        <f>30070/98604.6</f>
        <v>0.30495534691079318</v>
      </c>
    </row>
    <row r="14" spans="1:15" hidden="1">
      <c r="A14" s="119" t="s">
        <v>698</v>
      </c>
      <c r="L14" s="752">
        <f>K7/1000*I13</f>
        <v>0</v>
      </c>
      <c r="M14" s="753"/>
      <c r="N14" s="753" t="s">
        <v>84</v>
      </c>
      <c r="O14" s="753"/>
    </row>
    <row r="15" spans="1:15" hidden="1">
      <c r="A15" s="119" t="s">
        <v>699</v>
      </c>
    </row>
    <row r="17" spans="1:10">
      <c r="A17" s="654" t="s">
        <v>227</v>
      </c>
      <c r="B17" s="654"/>
      <c r="C17" s="654"/>
    </row>
    <row r="18" spans="1:10">
      <c r="A18" s="654" t="s">
        <v>236</v>
      </c>
      <c r="B18" s="654"/>
      <c r="C18" s="654"/>
    </row>
    <row r="21" spans="1:10">
      <c r="J21" s="867"/>
    </row>
    <row r="24" spans="1:10">
      <c r="C24" s="119" t="s">
        <v>262</v>
      </c>
      <c r="H24" s="868"/>
    </row>
    <row r="25" spans="1:10">
      <c r="H25" s="869"/>
    </row>
  </sheetData>
  <printOptions horizontalCentered="1"/>
  <pageMargins left="0.19685039370078741" right="0.19685039370078741" top="0.98425196850393704" bottom="0.11811023622047245" header="0.51181102362204722" footer="3.937007874015748E-2"/>
  <pageSetup paperSize="9" scale="87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3" enableFormatConditionsCalculation="0">
    <tabColor rgb="FFCCCCFF"/>
  </sheetPr>
  <dimension ref="A1:H46"/>
  <sheetViews>
    <sheetView topLeftCell="A4" workbookViewId="0">
      <selection activeCell="K8" sqref="K8"/>
    </sheetView>
  </sheetViews>
  <sheetFormatPr defaultColWidth="9.109375" defaultRowHeight="13.2"/>
  <cols>
    <col min="1" max="1" width="5.5546875" style="120" customWidth="1"/>
    <col min="2" max="2" width="38.5546875" style="120" customWidth="1"/>
    <col min="3" max="3" width="22.33203125" style="120" customWidth="1"/>
    <col min="4" max="4" width="21.5546875" style="120" customWidth="1"/>
    <col min="5" max="16384" width="9.109375" style="6"/>
  </cols>
  <sheetData>
    <row r="1" spans="1:7">
      <c r="D1" s="195" t="s">
        <v>53</v>
      </c>
    </row>
    <row r="2" spans="1:7">
      <c r="A2" s="558"/>
    </row>
    <row r="3" spans="1:7" ht="15.6">
      <c r="A3" s="197" t="s">
        <v>238</v>
      </c>
      <c r="B3" s="214"/>
      <c r="C3" s="214"/>
      <c r="D3" s="214"/>
    </row>
    <row r="4" spans="1:7" ht="18" customHeight="1">
      <c r="A4" s="197" t="s">
        <v>239</v>
      </c>
      <c r="B4" s="197"/>
      <c r="C4" s="197"/>
      <c r="D4" s="197"/>
    </row>
    <row r="5" spans="1:7" ht="18" customHeight="1">
      <c r="A5" s="197" t="s">
        <v>729</v>
      </c>
      <c r="B5" s="197"/>
      <c r="C5" s="197"/>
      <c r="D5" s="197"/>
      <c r="E5" s="46"/>
      <c r="F5" s="46"/>
      <c r="G5" s="46"/>
    </row>
    <row r="6" spans="1:7" ht="18" customHeight="1">
      <c r="A6" s="197"/>
      <c r="B6" s="197"/>
      <c r="C6" s="197"/>
      <c r="D6" s="658"/>
      <c r="E6" s="46"/>
      <c r="F6" s="46"/>
      <c r="G6" s="46"/>
    </row>
    <row r="7" spans="1:7">
      <c r="D7" s="195" t="s">
        <v>24</v>
      </c>
    </row>
    <row r="8" spans="1:7">
      <c r="A8" s="199" t="s">
        <v>54</v>
      </c>
      <c r="B8" s="199" t="s">
        <v>291</v>
      </c>
      <c r="C8" s="199" t="s">
        <v>309</v>
      </c>
      <c r="D8" s="199" t="s">
        <v>303</v>
      </c>
    </row>
    <row r="9" spans="1:7" ht="39.6">
      <c r="A9" s="559" t="s">
        <v>55</v>
      </c>
      <c r="B9" s="560" t="s">
        <v>243</v>
      </c>
      <c r="C9" s="75"/>
      <c r="D9" s="75"/>
    </row>
    <row r="10" spans="1:7" ht="39.6">
      <c r="A10" s="559" t="s">
        <v>77</v>
      </c>
      <c r="B10" s="561" t="s">
        <v>242</v>
      </c>
      <c r="C10" s="75"/>
      <c r="D10" s="75"/>
    </row>
    <row r="11" spans="1:7" ht="19.5" customHeight="1">
      <c r="A11" s="559" t="s">
        <v>78</v>
      </c>
      <c r="B11" s="121" t="s">
        <v>56</v>
      </c>
      <c r="C11" s="75"/>
      <c r="D11" s="75"/>
    </row>
    <row r="12" spans="1:7" ht="27.75" customHeight="1">
      <c r="A12" s="559" t="s">
        <v>79</v>
      </c>
      <c r="B12" s="121" t="s">
        <v>57</v>
      </c>
      <c r="C12" s="75"/>
      <c r="D12" s="75"/>
    </row>
    <row r="13" spans="1:7" ht="27" customHeight="1">
      <c r="A13" s="559" t="s">
        <v>80</v>
      </c>
      <c r="B13" s="121" t="s">
        <v>58</v>
      </c>
      <c r="C13" s="75"/>
      <c r="D13" s="75"/>
      <c r="F13" s="34"/>
      <c r="G13" s="113"/>
    </row>
    <row r="14" spans="1:7" ht="13.5" customHeight="1">
      <c r="A14" s="559" t="s">
        <v>81</v>
      </c>
      <c r="B14" s="121" t="s">
        <v>59</v>
      </c>
      <c r="C14" s="75"/>
      <c r="D14" s="75"/>
    </row>
    <row r="15" spans="1:7" ht="16.5" customHeight="1">
      <c r="A15" s="559" t="s">
        <v>82</v>
      </c>
      <c r="B15" s="121" t="s">
        <v>60</v>
      </c>
      <c r="C15" s="82" t="e">
        <f>#REF!</f>
        <v>#REF!</v>
      </c>
      <c r="D15" s="82" t="e">
        <f>#REF!</f>
        <v>#REF!</v>
      </c>
      <c r="E15" s="37"/>
    </row>
    <row r="16" spans="1:7">
      <c r="A16" s="562"/>
    </row>
    <row r="17" spans="1:8">
      <c r="A17" s="562"/>
    </row>
    <row r="18" spans="1:8">
      <c r="A18" s="480"/>
    </row>
    <row r="19" spans="1:8">
      <c r="A19" s="480"/>
      <c r="E19" s="19"/>
    </row>
    <row r="20" spans="1:8">
      <c r="A20" s="480"/>
      <c r="E20" s="19"/>
    </row>
    <row r="22" spans="1:8" s="669" customFormat="1" ht="23.25" customHeight="1">
      <c r="A22" s="731" t="s">
        <v>731</v>
      </c>
      <c r="B22" s="667"/>
      <c r="C22" s="668"/>
      <c r="H22" s="670"/>
    </row>
    <row r="23" spans="1:8" s="669" customFormat="1" ht="15" customHeight="1">
      <c r="A23" s="731" t="s">
        <v>761</v>
      </c>
      <c r="B23" s="671"/>
      <c r="C23" s="668"/>
      <c r="D23" s="672" t="s">
        <v>733</v>
      </c>
    </row>
    <row r="24" spans="1:8" s="28" customFormat="1">
      <c r="A24" s="120"/>
      <c r="B24" s="120"/>
      <c r="C24" s="120"/>
      <c r="D24" s="120"/>
    </row>
    <row r="25" spans="1:8" s="28" customFormat="1">
      <c r="A25" s="120"/>
      <c r="B25" s="120"/>
      <c r="C25" s="120"/>
      <c r="D25" s="120"/>
    </row>
    <row r="26" spans="1:8">
      <c r="A26" s="2962"/>
      <c r="B26" s="2963"/>
      <c r="C26" s="2963"/>
      <c r="D26" s="2963"/>
      <c r="E26" s="2963"/>
      <c r="F26" s="2963"/>
      <c r="G26" s="2963"/>
    </row>
    <row r="45" spans="2:2">
      <c r="B45" s="59" t="s">
        <v>227</v>
      </c>
    </row>
    <row r="46" spans="2:2">
      <c r="B46" s="59" t="s">
        <v>236</v>
      </c>
    </row>
  </sheetData>
  <mergeCells count="1">
    <mergeCell ref="A26:G26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4"/>
  <dimension ref="A1:Q124"/>
  <sheetViews>
    <sheetView topLeftCell="A85" workbookViewId="0">
      <selection activeCell="K8" sqref="K8"/>
    </sheetView>
  </sheetViews>
  <sheetFormatPr defaultColWidth="9.109375" defaultRowHeight="14.4" outlineLevelRow="1"/>
  <cols>
    <col min="1" max="1" width="9.109375" style="1311"/>
    <col min="2" max="2" width="13.33203125" style="1311" customWidth="1"/>
    <col min="3" max="3" width="8.5546875" style="1312" customWidth="1"/>
    <col min="4" max="4" width="13.33203125" style="1311" customWidth="1"/>
    <col min="5" max="5" width="8.5546875" style="1311" customWidth="1"/>
    <col min="6" max="6" width="13.33203125" style="1311" customWidth="1"/>
    <col min="7" max="7" width="8.5546875" style="1311" customWidth="1"/>
    <col min="8" max="16384" width="9.109375" style="1311"/>
  </cols>
  <sheetData>
    <row r="1" spans="1:17" ht="15.6">
      <c r="A1" s="1388" t="s">
        <v>1236</v>
      </c>
      <c r="B1" s="1388"/>
      <c r="C1" s="1389"/>
      <c r="D1" s="1388"/>
      <c r="E1" s="1388"/>
      <c r="F1" s="1388"/>
      <c r="G1" s="1388"/>
      <c r="I1" s="1311" t="s">
        <v>1269</v>
      </c>
    </row>
    <row r="2" spans="1:17" ht="18.75" customHeight="1">
      <c r="A2" s="1388" t="s">
        <v>1237</v>
      </c>
      <c r="B2" s="1388"/>
      <c r="C2" s="1389"/>
      <c r="D2" s="1388"/>
      <c r="E2" s="1388"/>
      <c r="F2" s="1388"/>
      <c r="G2" s="1388"/>
    </row>
    <row r="3" spans="1:17" ht="52.5" hidden="1" customHeight="1" outlineLevel="1">
      <c r="L3" s="1605" t="s">
        <v>1357</v>
      </c>
    </row>
    <row r="4" spans="1:17" s="1317" customFormat="1" ht="15.6" hidden="1" outlineLevel="1">
      <c r="A4" s="1390" t="s">
        <v>268</v>
      </c>
      <c r="B4" s="1314"/>
      <c r="C4" s="1315"/>
      <c r="D4" s="1314"/>
      <c r="E4" s="1314"/>
      <c r="F4" s="1391"/>
      <c r="G4" s="1314"/>
      <c r="N4" s="1318"/>
      <c r="O4" s="1318"/>
      <c r="P4" s="1318"/>
    </row>
    <row r="5" spans="1:17" s="1317" customFormat="1" ht="15.75" hidden="1" customHeight="1" outlineLevel="1">
      <c r="A5" s="3018" t="s">
        <v>1238</v>
      </c>
      <c r="B5" s="1319" t="s">
        <v>1239</v>
      </c>
      <c r="C5" s="1320"/>
      <c r="D5" s="1321"/>
      <c r="E5" s="1319"/>
      <c r="F5" s="1319" t="s">
        <v>1240</v>
      </c>
      <c r="G5" s="1319"/>
      <c r="H5" s="3018" t="s">
        <v>336</v>
      </c>
      <c r="O5" s="1318"/>
      <c r="P5" s="1318"/>
      <c r="Q5" s="1318"/>
    </row>
    <row r="6" spans="1:17" s="1317" customFormat="1" ht="69" hidden="1" customHeight="1" outlineLevel="1">
      <c r="A6" s="3019"/>
      <c r="B6" s="1322" t="s">
        <v>338</v>
      </c>
      <c r="C6" s="1323" t="s">
        <v>1241</v>
      </c>
      <c r="D6" s="1322" t="s">
        <v>385</v>
      </c>
      <c r="E6" s="1324" t="s">
        <v>1241</v>
      </c>
      <c r="F6" s="1325" t="s">
        <v>340</v>
      </c>
      <c r="G6" s="1324" t="s">
        <v>1241</v>
      </c>
      <c r="H6" s="3020"/>
      <c r="N6" s="1318"/>
    </row>
    <row r="7" spans="1:17" s="1317" customFormat="1" ht="15.6" hidden="1" outlineLevel="1">
      <c r="A7" s="3019"/>
      <c r="B7" s="1326" t="s">
        <v>1242</v>
      </c>
      <c r="C7" s="1327" t="s">
        <v>87</v>
      </c>
      <c r="D7" s="1326" t="s">
        <v>1243</v>
      </c>
      <c r="E7" s="1328" t="s">
        <v>87</v>
      </c>
      <c r="F7" s="1325"/>
      <c r="G7" s="1328" t="s">
        <v>87</v>
      </c>
      <c r="H7" s="1326" t="s">
        <v>450</v>
      </c>
      <c r="O7" s="1318"/>
      <c r="P7" s="1318"/>
      <c r="Q7" s="1318"/>
    </row>
    <row r="8" spans="1:17" s="1318" customFormat="1" ht="15.6" hidden="1" outlineLevel="1">
      <c r="A8" s="3020"/>
      <c r="B8" s="1329" t="s">
        <v>99</v>
      </c>
      <c r="C8" s="1330"/>
      <c r="D8" s="1329" t="s">
        <v>344</v>
      </c>
      <c r="E8" s="1330"/>
      <c r="F8" s="1329" t="s">
        <v>344</v>
      </c>
      <c r="G8" s="1330"/>
      <c r="H8" s="1329" t="s">
        <v>1244</v>
      </c>
    </row>
    <row r="9" spans="1:17" s="1318" customFormat="1" ht="15.6" hidden="1" outlineLevel="1">
      <c r="A9" s="1331" t="s">
        <v>292</v>
      </c>
      <c r="B9" s="1332">
        <v>124404</v>
      </c>
      <c r="C9" s="1330"/>
      <c r="D9" s="1332">
        <v>228.06</v>
      </c>
      <c r="E9" s="1330"/>
      <c r="F9" s="1332">
        <v>433</v>
      </c>
      <c r="G9" s="1330"/>
      <c r="H9" s="1333">
        <f>(B9*12/(F9-D9))</f>
        <v>7284.3173611788816</v>
      </c>
    </row>
    <row r="10" spans="1:17" s="1318" customFormat="1" ht="15.6" hidden="1" outlineLevel="1">
      <c r="A10" s="1331" t="s">
        <v>276</v>
      </c>
      <c r="B10" s="1332">
        <v>166069</v>
      </c>
      <c r="C10" s="1330"/>
      <c r="D10" s="1332">
        <v>749.32</v>
      </c>
      <c r="E10" s="1330"/>
      <c r="F10" s="1332">
        <v>1022.95</v>
      </c>
      <c r="G10" s="1330"/>
      <c r="H10" s="1333">
        <f>(B10*12/(F10-D10))</f>
        <v>7282.9295033439321</v>
      </c>
    </row>
    <row r="11" spans="1:17" s="1318" customFormat="1" ht="15.6" hidden="1" outlineLevel="1">
      <c r="A11" s="1331" t="s">
        <v>348</v>
      </c>
      <c r="B11" s="1332">
        <v>417747</v>
      </c>
      <c r="C11" s="1330"/>
      <c r="D11" s="1332">
        <v>810.58</v>
      </c>
      <c r="E11" s="1330"/>
      <c r="F11" s="1332">
        <v>1498.78</v>
      </c>
      <c r="G11" s="1330"/>
      <c r="H11" s="1333">
        <f>(B11*12/(F11-D11))</f>
        <v>7284.167393199652</v>
      </c>
    </row>
    <row r="12" spans="1:17" s="1318" customFormat="1" ht="15.6" hidden="1" outlineLevel="1">
      <c r="A12" s="1331" t="s">
        <v>280</v>
      </c>
      <c r="B12" s="1332">
        <v>481133</v>
      </c>
      <c r="C12" s="1330"/>
      <c r="D12" s="1332">
        <v>1074.45</v>
      </c>
      <c r="E12" s="1330"/>
      <c r="F12" s="1332">
        <v>1903</v>
      </c>
      <c r="G12" s="1330"/>
      <c r="H12" s="1333">
        <f>(B12*12/(F12-D12))</f>
        <v>6968.3133184478911</v>
      </c>
    </row>
    <row r="13" spans="1:17" s="1318" customFormat="1" ht="21.75" hidden="1" customHeight="1" outlineLevel="1">
      <c r="A13" s="1331" t="s">
        <v>449</v>
      </c>
      <c r="B13" s="1332"/>
      <c r="C13" s="1330"/>
      <c r="D13" s="1332"/>
      <c r="E13" s="1330"/>
      <c r="F13" s="1332"/>
      <c r="G13" s="1330"/>
      <c r="H13" s="1333" t="e">
        <f>(B13*12/(F13-D13))</f>
        <v>#DIV/0!</v>
      </c>
    </row>
    <row r="14" spans="1:17" s="1318" customFormat="1" ht="21.75" hidden="1" customHeight="1" outlineLevel="1">
      <c r="A14" s="1334"/>
      <c r="B14" s="1335"/>
      <c r="C14" s="1336"/>
      <c r="D14" s="1335"/>
      <c r="E14" s="1336"/>
      <c r="F14" s="1335"/>
      <c r="G14" s="1336"/>
      <c r="H14" s="1337"/>
    </row>
    <row r="15" spans="1:17" s="1317" customFormat="1" ht="15.6" hidden="1" outlineLevel="1">
      <c r="A15" s="1390" t="s">
        <v>269</v>
      </c>
      <c r="B15" s="1314"/>
      <c r="C15" s="1315"/>
      <c r="D15" s="1314"/>
      <c r="E15" s="1314"/>
      <c r="F15" s="1391"/>
      <c r="G15" s="1314"/>
      <c r="N15" s="1318"/>
      <c r="O15" s="1318"/>
      <c r="P15" s="1318"/>
    </row>
    <row r="16" spans="1:17" s="1317" customFormat="1" ht="15.75" hidden="1" customHeight="1" outlineLevel="1" collapsed="1">
      <c r="A16" s="3018" t="s">
        <v>1238</v>
      </c>
      <c r="B16" s="1319" t="s">
        <v>1239</v>
      </c>
      <c r="C16" s="1320"/>
      <c r="D16" s="1321"/>
      <c r="E16" s="1319"/>
      <c r="F16" s="1319" t="s">
        <v>1240</v>
      </c>
      <c r="G16" s="1319"/>
      <c r="H16" s="3018" t="s">
        <v>336</v>
      </c>
      <c r="O16" s="1318"/>
      <c r="P16" s="1318"/>
      <c r="Q16" s="1318"/>
    </row>
    <row r="17" spans="1:17" s="1317" customFormat="1" ht="69" hidden="1" customHeight="1" outlineLevel="1">
      <c r="A17" s="3019"/>
      <c r="B17" s="1322" t="s">
        <v>338</v>
      </c>
      <c r="C17" s="1323" t="s">
        <v>1241</v>
      </c>
      <c r="D17" s="1322" t="s">
        <v>385</v>
      </c>
      <c r="E17" s="1324" t="s">
        <v>1241</v>
      </c>
      <c r="F17" s="1325" t="s">
        <v>340</v>
      </c>
      <c r="G17" s="1324" t="s">
        <v>1241</v>
      </c>
      <c r="H17" s="3020"/>
      <c r="N17" s="1318"/>
    </row>
    <row r="18" spans="1:17" s="1317" customFormat="1" ht="15.6" hidden="1" outlineLevel="1">
      <c r="A18" s="3019"/>
      <c r="B18" s="1326" t="s">
        <v>1242</v>
      </c>
      <c r="C18" s="1327" t="s">
        <v>87</v>
      </c>
      <c r="D18" s="1326" t="s">
        <v>1243</v>
      </c>
      <c r="E18" s="1328" t="s">
        <v>87</v>
      </c>
      <c r="F18" s="1325"/>
      <c r="G18" s="1328" t="s">
        <v>87</v>
      </c>
      <c r="H18" s="1326" t="s">
        <v>450</v>
      </c>
      <c r="O18" s="1318"/>
      <c r="P18" s="1318"/>
      <c r="Q18" s="1318"/>
    </row>
    <row r="19" spans="1:17" s="1318" customFormat="1" ht="15.6" hidden="1" outlineLevel="1">
      <c r="A19" s="3020"/>
      <c r="B19" s="1329" t="s">
        <v>99</v>
      </c>
      <c r="C19" s="1330"/>
      <c r="D19" s="1329" t="s">
        <v>344</v>
      </c>
      <c r="E19" s="1330"/>
      <c r="F19" s="1329" t="s">
        <v>344</v>
      </c>
      <c r="G19" s="1330"/>
      <c r="H19" s="1329" t="s">
        <v>1244</v>
      </c>
    </row>
    <row r="20" spans="1:17" s="1318" customFormat="1" ht="15.6" hidden="1" outlineLevel="1">
      <c r="A20" s="1331" t="s">
        <v>292</v>
      </c>
      <c r="B20" s="1332">
        <v>300621.82</v>
      </c>
      <c r="C20" s="1330">
        <f>B20/B9-1</f>
        <v>1.4164964149062733</v>
      </c>
      <c r="D20" s="1332">
        <v>176.8</v>
      </c>
      <c r="E20" s="1330">
        <f>D20/D9-1</f>
        <v>-0.22476541261071648</v>
      </c>
      <c r="F20" s="1332">
        <v>592.41</v>
      </c>
      <c r="G20" s="1330">
        <f>F20/F9-1</f>
        <v>0.36815242494226319</v>
      </c>
      <c r="H20" s="1333">
        <f>(B20*12/(F20-D20))</f>
        <v>8679.9206948822211</v>
      </c>
    </row>
    <row r="21" spans="1:17" s="1318" customFormat="1" ht="15.6" hidden="1" outlineLevel="1">
      <c r="A21" s="1331" t="s">
        <v>276</v>
      </c>
      <c r="B21" s="1332">
        <v>490793.23</v>
      </c>
      <c r="C21" s="1330">
        <f>B21/B10-1</f>
        <v>1.9553572912464094</v>
      </c>
      <c r="D21" s="1332">
        <v>180</v>
      </c>
      <c r="E21" s="1330">
        <f>D21/D10-1</f>
        <v>-0.75978220253029416</v>
      </c>
      <c r="F21" s="1332">
        <v>969.48</v>
      </c>
      <c r="G21" s="1330">
        <f>F21/F10-1</f>
        <v>-5.2270394447431423E-2</v>
      </c>
      <c r="H21" s="1333">
        <f>(B21*12/(F21-D21))</f>
        <v>7459.9974160206712</v>
      </c>
    </row>
    <row r="22" spans="1:17" s="1318" customFormat="1" ht="15.6" hidden="1" outlineLevel="1">
      <c r="A22" s="1331" t="s">
        <v>348</v>
      </c>
      <c r="B22" s="1332">
        <v>680321</v>
      </c>
      <c r="C22" s="1330">
        <f>B22/B11-1</f>
        <v>0.6285479010022812</v>
      </c>
      <c r="D22" s="1332">
        <v>210</v>
      </c>
      <c r="E22" s="1330">
        <f>D22/D11-1</f>
        <v>-0.74092625033926329</v>
      </c>
      <c r="F22" s="1332">
        <v>1441.35</v>
      </c>
      <c r="G22" s="1330">
        <f>F22/F11-1</f>
        <v>-3.8317831836560456E-2</v>
      </c>
      <c r="H22" s="1333">
        <f>(B22*12/(F22-D22))</f>
        <v>6630.0012181751745</v>
      </c>
    </row>
    <row r="23" spans="1:17" s="1318" customFormat="1" ht="15.6" hidden="1" outlineLevel="1">
      <c r="A23" s="1331" t="s">
        <v>280</v>
      </c>
      <c r="B23" s="1332">
        <v>851305.82</v>
      </c>
      <c r="C23" s="1330">
        <f>B23/B12-1</f>
        <v>0.76937732394161262</v>
      </c>
      <c r="D23" s="1332">
        <v>432</v>
      </c>
      <c r="E23" s="1330">
        <f>D23/D12-1</f>
        <v>-0.59793382660896266</v>
      </c>
      <c r="F23" s="1332">
        <v>2296.17</v>
      </c>
      <c r="G23" s="1330">
        <f>F23/F12-1</f>
        <v>0.20660535995796114</v>
      </c>
      <c r="H23" s="1333">
        <f>(B23*12/(F23-D23))</f>
        <v>5480.0097845153605</v>
      </c>
    </row>
    <row r="24" spans="1:17" s="1318" customFormat="1" ht="21.75" hidden="1" customHeight="1" outlineLevel="1">
      <c r="A24" s="1331" t="s">
        <v>449</v>
      </c>
      <c r="B24" s="1332">
        <v>116581.82</v>
      </c>
      <c r="C24" s="1330"/>
      <c r="D24" s="1332">
        <v>162.69999999999999</v>
      </c>
      <c r="E24" s="1330"/>
      <c r="F24" s="1332">
        <v>380.24</v>
      </c>
      <c r="G24" s="1330"/>
      <c r="H24" s="1333">
        <f>(B24*12/(F24-D24))</f>
        <v>6430.9177162820624</v>
      </c>
    </row>
    <row r="25" spans="1:17" s="1318" customFormat="1" ht="21.75" hidden="1" customHeight="1" collapsed="1">
      <c r="A25" s="1334"/>
      <c r="B25" s="1335"/>
      <c r="C25" s="1336"/>
      <c r="D25" s="1335"/>
      <c r="E25" s="1335"/>
      <c r="F25" s="1392" t="s">
        <v>1245</v>
      </c>
      <c r="G25" s="1335"/>
      <c r="H25" s="1337"/>
    </row>
    <row r="26" spans="1:17" s="1317" customFormat="1" ht="15.6" hidden="1">
      <c r="A26" s="1393" t="s">
        <v>607</v>
      </c>
      <c r="B26" s="1340"/>
      <c r="C26" s="1341"/>
      <c r="D26" s="1340"/>
      <c r="E26" s="1340"/>
      <c r="F26" s="1394"/>
      <c r="G26" s="1340"/>
      <c r="H26" s="1343"/>
      <c r="J26" s="1395" t="s">
        <v>1246</v>
      </c>
      <c r="K26" s="1395"/>
      <c r="N26" s="1318"/>
      <c r="O26" s="1318"/>
      <c r="P26" s="1318"/>
    </row>
    <row r="27" spans="1:17" s="1317" customFormat="1" ht="15.75" hidden="1" customHeight="1">
      <c r="A27" s="3024" t="s">
        <v>1238</v>
      </c>
      <c r="B27" s="1345" t="s">
        <v>1239</v>
      </c>
      <c r="C27" s="1346"/>
      <c r="D27" s="1347"/>
      <c r="E27" s="1345"/>
      <c r="F27" s="1345" t="s">
        <v>1240</v>
      </c>
      <c r="G27" s="1345"/>
      <c r="H27" s="3024" t="s">
        <v>336</v>
      </c>
      <c r="O27" s="1318"/>
      <c r="P27" s="1318"/>
      <c r="Q27" s="1318"/>
    </row>
    <row r="28" spans="1:17" s="1317" customFormat="1" ht="69" hidden="1" customHeight="1">
      <c r="A28" s="2909"/>
      <c r="B28" s="1348" t="s">
        <v>338</v>
      </c>
      <c r="C28" s="1349" t="s">
        <v>1241</v>
      </c>
      <c r="D28" s="1348" t="s">
        <v>385</v>
      </c>
      <c r="E28" s="1350" t="s">
        <v>1241</v>
      </c>
      <c r="F28" s="1351" t="s">
        <v>340</v>
      </c>
      <c r="G28" s="1350" t="s">
        <v>1241</v>
      </c>
      <c r="H28" s="2909"/>
      <c r="J28" s="1396" t="s">
        <v>1247</v>
      </c>
      <c r="K28" s="1396"/>
      <c r="L28" s="1396"/>
      <c r="N28" s="1318"/>
    </row>
    <row r="29" spans="1:17" s="1317" customFormat="1" ht="15.6" hidden="1">
      <c r="A29" s="2909"/>
      <c r="B29" s="1353" t="s">
        <v>1242</v>
      </c>
      <c r="C29" s="1354" t="s">
        <v>87</v>
      </c>
      <c r="D29" s="1353" t="s">
        <v>1243</v>
      </c>
      <c r="E29" s="1351" t="s">
        <v>87</v>
      </c>
      <c r="F29" s="1351"/>
      <c r="G29" s="1351" t="s">
        <v>87</v>
      </c>
      <c r="H29" s="1353" t="s">
        <v>1270</v>
      </c>
      <c r="J29" s="1397" t="s">
        <v>1248</v>
      </c>
      <c r="K29" s="1397"/>
      <c r="L29" s="1398" t="s">
        <v>1249</v>
      </c>
      <c r="O29" s="1318"/>
      <c r="P29" s="1318"/>
      <c r="Q29" s="1318"/>
    </row>
    <row r="30" spans="1:17" s="1317" customFormat="1" ht="15.6" hidden="1">
      <c r="A30" s="2909"/>
      <c r="B30" s="1351" t="s">
        <v>99</v>
      </c>
      <c r="C30" s="1354"/>
      <c r="D30" s="1351" t="s">
        <v>344</v>
      </c>
      <c r="E30" s="1351"/>
      <c r="F30" s="1351" t="s">
        <v>344</v>
      </c>
      <c r="G30" s="1351"/>
      <c r="H30" s="1351" t="s">
        <v>1244</v>
      </c>
      <c r="J30" s="1399" t="s">
        <v>1250</v>
      </c>
      <c r="K30" s="1400" t="s">
        <v>1251</v>
      </c>
      <c r="L30" s="1401"/>
      <c r="O30" s="1318"/>
      <c r="P30" s="1318"/>
      <c r="Q30" s="1318"/>
    </row>
    <row r="31" spans="1:17" s="1317" customFormat="1" ht="15.6" hidden="1">
      <c r="A31" s="1348" t="s">
        <v>292</v>
      </c>
      <c r="B31" s="1402">
        <v>364484.63</v>
      </c>
      <c r="C31" s="1361">
        <f>B31/B20-1</f>
        <v>0.2124357107544621</v>
      </c>
      <c r="D31" s="1402">
        <v>151.36000000000001</v>
      </c>
      <c r="E31" s="1361">
        <f>D31/D20-1</f>
        <v>-0.14389140271493206</v>
      </c>
      <c r="F31" s="1402">
        <v>671</v>
      </c>
      <c r="G31" s="1361">
        <f>F31/F20-1</f>
        <v>0.1326615013250958</v>
      </c>
      <c r="H31" s="1362">
        <f>(B31*12/(F31-D31))</f>
        <v>8417.0109306442937</v>
      </c>
      <c r="J31" s="1403">
        <f>B31/B9-1</f>
        <v>1.9298465483424971</v>
      </c>
      <c r="K31" s="1403">
        <f>D31/D9-1</f>
        <v>-0.33631500482329202</v>
      </c>
      <c r="L31" s="1403">
        <f>F31/F9-1</f>
        <v>0.54965357967667439</v>
      </c>
      <c r="N31" s="1403">
        <v>0.21461487820934821</v>
      </c>
      <c r="O31" s="1318"/>
      <c r="P31" s="1318"/>
      <c r="Q31" s="1318"/>
    </row>
    <row r="32" spans="1:17" s="1317" customFormat="1" ht="15.6" hidden="1">
      <c r="A32" s="1348" t="s">
        <v>276</v>
      </c>
      <c r="B32" s="1402">
        <v>684381.17</v>
      </c>
      <c r="C32" s="1361">
        <f>B32/B21-1</f>
        <v>0.3944388963963501</v>
      </c>
      <c r="D32" s="1402">
        <v>162.12</v>
      </c>
      <c r="E32" s="1361">
        <f>D32/D21-1</f>
        <v>-9.9333333333333274E-2</v>
      </c>
      <c r="F32" s="1402">
        <v>1153.6500000000001</v>
      </c>
      <c r="G32" s="1361">
        <f>F32/F21-1</f>
        <v>0.18996781779923255</v>
      </c>
      <c r="H32" s="1362">
        <f>(B32*12/(F32-D32))</f>
        <v>8282.7287525339634</v>
      </c>
      <c r="J32" s="1403">
        <f>B32/B10-1</f>
        <v>3.1210651596625505</v>
      </c>
      <c r="K32" s="1403">
        <f>D32/D10-1</f>
        <v>-0.78364383707895158</v>
      </c>
      <c r="L32" s="1403">
        <f>F32/F10-1</f>
        <v>0.12776773058311752</v>
      </c>
      <c r="N32" s="1403">
        <v>0.24512109584519526</v>
      </c>
      <c r="O32" s="1318"/>
      <c r="P32" s="1318"/>
      <c r="Q32" s="1318"/>
    </row>
    <row r="33" spans="1:17" s="1317" customFormat="1" ht="15.6" hidden="1">
      <c r="A33" s="1348" t="s">
        <v>348</v>
      </c>
      <c r="B33" s="1402">
        <v>942948.34</v>
      </c>
      <c r="C33" s="1361">
        <f>B33/B22-1</f>
        <v>0.38603444550440158</v>
      </c>
      <c r="D33" s="1606"/>
      <c r="E33" s="1330"/>
      <c r="F33" s="1606"/>
      <c r="G33" s="1330"/>
      <c r="H33" s="1607"/>
      <c r="I33" s="1608"/>
      <c r="J33" s="1403">
        <f>B33/B11-1</f>
        <v>1.2572234869430541</v>
      </c>
      <c r="K33" s="1403">
        <f>D33/D11-1</f>
        <v>-1</v>
      </c>
      <c r="L33" s="1403">
        <f>F33/F11-1</f>
        <v>-1</v>
      </c>
      <c r="N33" s="1403">
        <v>0.35747736497034044</v>
      </c>
      <c r="O33" s="1318"/>
      <c r="P33" s="1318"/>
      <c r="Q33" s="1318"/>
    </row>
    <row r="34" spans="1:17" s="1317" customFormat="1" ht="15.6" hidden="1">
      <c r="A34" s="1348" t="s">
        <v>280</v>
      </c>
      <c r="B34" s="1402">
        <v>1640145.12</v>
      </c>
      <c r="C34" s="1361">
        <f>B34/B23-1</f>
        <v>0.92662270299056604</v>
      </c>
      <c r="D34" s="1402">
        <v>472.06</v>
      </c>
      <c r="E34" s="1361">
        <f>D34/D23-1</f>
        <v>9.273148148148147E-2</v>
      </c>
      <c r="F34" s="1402">
        <v>2747.68</v>
      </c>
      <c r="G34" s="1361">
        <f>F34/F23-1</f>
        <v>0.1966361375682113</v>
      </c>
      <c r="H34" s="1362">
        <f>(B34*12/(F34-D34))</f>
        <v>8648.9578400611717</v>
      </c>
      <c r="J34" s="1403">
        <f>B34/B12-1</f>
        <v>2.4089225224626043</v>
      </c>
      <c r="K34" s="1403">
        <f>D34/D12-1</f>
        <v>-0.56064963469682172</v>
      </c>
      <c r="L34" s="1403">
        <f>F34/F12-1</f>
        <v>0.44386757750919581</v>
      </c>
      <c r="N34" s="1403">
        <v>0.32037262049412729</v>
      </c>
      <c r="O34" s="1318"/>
      <c r="P34" s="1318"/>
      <c r="Q34" s="1318"/>
    </row>
    <row r="35" spans="1:17" s="1317" customFormat="1" ht="21.75" hidden="1" customHeight="1">
      <c r="A35" s="1348" t="s">
        <v>449</v>
      </c>
      <c r="B35" s="1402">
        <v>133702.84</v>
      </c>
      <c r="C35" s="1361">
        <f>B35/B24-1</f>
        <v>0.14685840382316884</v>
      </c>
      <c r="D35" s="1402">
        <v>150</v>
      </c>
      <c r="E35" s="1361">
        <f>D35/D24-1</f>
        <v>-7.8057775046097011E-2</v>
      </c>
      <c r="F35" s="1402">
        <v>437.28</v>
      </c>
      <c r="G35" s="1361">
        <f>F35/F24-1</f>
        <v>0.15001051967178625</v>
      </c>
      <c r="H35" s="1362">
        <f>(B35*12/(F35-D35))</f>
        <v>5584.9139515455308</v>
      </c>
      <c r="J35" s="1396"/>
      <c r="K35" s="1396"/>
      <c r="L35" s="1396"/>
      <c r="N35" s="1403">
        <v>-0.3810225120976225</v>
      </c>
      <c r="O35" s="1318"/>
      <c r="P35" s="1318"/>
      <c r="Q35" s="1318"/>
    </row>
    <row r="36" spans="1:17" hidden="1"/>
    <row r="37" spans="1:17" hidden="1">
      <c r="A37" s="1393" t="s">
        <v>730</v>
      </c>
      <c r="B37" s="1340"/>
      <c r="C37" s="1341"/>
      <c r="D37" s="1340"/>
      <c r="E37" s="1340"/>
      <c r="F37" s="1394"/>
      <c r="G37" s="1340"/>
      <c r="H37" s="1609"/>
    </row>
    <row r="38" spans="1:17" ht="18.75" hidden="1" customHeight="1">
      <c r="A38" s="3024" t="s">
        <v>1238</v>
      </c>
      <c r="B38" s="1345" t="s">
        <v>1239</v>
      </c>
      <c r="C38" s="1346"/>
      <c r="D38" s="1345"/>
      <c r="E38" s="1345"/>
      <c r="F38" s="1345" t="s">
        <v>1240</v>
      </c>
      <c r="G38" s="1345"/>
      <c r="H38" s="3024" t="s">
        <v>336</v>
      </c>
    </row>
    <row r="39" spans="1:17" ht="66" hidden="1">
      <c r="A39" s="2909"/>
      <c r="B39" s="1348" t="s">
        <v>338</v>
      </c>
      <c r="C39" s="1349" t="s">
        <v>1241</v>
      </c>
      <c r="D39" s="1348" t="s">
        <v>385</v>
      </c>
      <c r="E39" s="1350" t="s">
        <v>1241</v>
      </c>
      <c r="F39" s="1351" t="s">
        <v>340</v>
      </c>
      <c r="G39" s="1350" t="s">
        <v>1241</v>
      </c>
      <c r="H39" s="2909"/>
    </row>
    <row r="40" spans="1:17" ht="15.6" hidden="1">
      <c r="A40" s="2909"/>
      <c r="B40" s="1353" t="s">
        <v>1242</v>
      </c>
      <c r="C40" s="1354" t="s">
        <v>87</v>
      </c>
      <c r="D40" s="1353" t="s">
        <v>1243</v>
      </c>
      <c r="E40" s="1351" t="s">
        <v>87</v>
      </c>
      <c r="F40" s="1351"/>
      <c r="G40" s="1353"/>
      <c r="H40" s="1353" t="s">
        <v>1270</v>
      </c>
    </row>
    <row r="41" spans="1:17" hidden="1">
      <c r="A41" s="2909"/>
      <c r="B41" s="1351" t="s">
        <v>99</v>
      </c>
      <c r="C41" s="1354"/>
      <c r="D41" s="1351" t="s">
        <v>344</v>
      </c>
      <c r="E41" s="1351"/>
      <c r="F41" s="1351" t="s">
        <v>344</v>
      </c>
      <c r="G41" s="1351" t="s">
        <v>87</v>
      </c>
      <c r="H41" s="1351" t="s">
        <v>1244</v>
      </c>
    </row>
    <row r="42" spans="1:17" hidden="1">
      <c r="A42" s="1348" t="s">
        <v>292</v>
      </c>
      <c r="B42" s="1610">
        <v>427956.36</v>
      </c>
      <c r="C42" s="1361">
        <f>B42/B31-1</f>
        <v>0.17414103305261452</v>
      </c>
      <c r="D42" s="1610">
        <v>179.28</v>
      </c>
      <c r="E42" s="1361">
        <f>D42/D31-1</f>
        <v>0.18446088794925997</v>
      </c>
      <c r="F42" s="1610">
        <v>789.41</v>
      </c>
      <c r="G42" s="1361">
        <f>F42/F31-1</f>
        <v>0.17646795827123696</v>
      </c>
      <c r="H42" s="1362">
        <f>(B42*12/(F42-D42))</f>
        <v>8417.0198482290671</v>
      </c>
    </row>
    <row r="43" spans="1:17" hidden="1">
      <c r="A43" s="1348" t="s">
        <v>276</v>
      </c>
      <c r="B43" s="1610">
        <v>781756.21</v>
      </c>
      <c r="C43" s="1361">
        <f>B43/B32-1</f>
        <v>0.14228188072445058</v>
      </c>
      <c r="D43" s="1610">
        <v>191.71</v>
      </c>
      <c r="E43" s="1361">
        <f>D43/D32-1</f>
        <v>0.18251912163829265</v>
      </c>
      <c r="F43" s="1610">
        <v>1324.32</v>
      </c>
      <c r="G43" s="1361">
        <f>F43/F32-1</f>
        <v>0.14793914965544119</v>
      </c>
      <c r="H43" s="1362">
        <f>(B43*12/(F43-D43))</f>
        <v>8282.7050087850184</v>
      </c>
    </row>
    <row r="44" spans="1:17" hidden="1">
      <c r="A44" s="1348" t="s">
        <v>348</v>
      </c>
      <c r="B44" s="1610">
        <v>1110334.72</v>
      </c>
      <c r="C44" s="1361">
        <f>B44/B33-1</f>
        <v>0.17751383919929276</v>
      </c>
      <c r="D44" s="1610">
        <v>469.5</v>
      </c>
      <c r="E44" s="1361" t="e">
        <f>D44/D33-1</f>
        <v>#DIV/0!</v>
      </c>
      <c r="F44" s="1610">
        <v>2146.56</v>
      </c>
      <c r="G44" s="1361" t="e">
        <f>F44/F33-1</f>
        <v>#DIV/0!</v>
      </c>
      <c r="H44" s="1362">
        <f>(B44*12/(F44-D44))</f>
        <v>7944.8658008658012</v>
      </c>
    </row>
    <row r="45" spans="1:17" hidden="1">
      <c r="A45" s="1348" t="s">
        <v>280</v>
      </c>
      <c r="B45" s="1610">
        <v>2019526.48</v>
      </c>
      <c r="C45" s="1361">
        <f>B45/B34-1</f>
        <v>0.23130962947961575</v>
      </c>
      <c r="D45" s="1610">
        <v>535.79999999999995</v>
      </c>
      <c r="E45" s="1361">
        <f>D45/D34-1</f>
        <v>0.13502520865991596</v>
      </c>
      <c r="F45" s="1610">
        <v>3325.91</v>
      </c>
      <c r="G45" s="1361">
        <f>F45/F34-1</f>
        <v>0.21044299190589877</v>
      </c>
      <c r="H45" s="1362">
        <f>(B45*12/(F45-D45))</f>
        <v>8685.7929472314718</v>
      </c>
    </row>
    <row r="46" spans="1:17" ht="27" hidden="1">
      <c r="A46" s="1348" t="s">
        <v>449</v>
      </c>
      <c r="B46" s="1610">
        <v>22308.959999999999</v>
      </c>
      <c r="C46" s="1361">
        <f>B46/B35-1</f>
        <v>-0.83314520469423092</v>
      </c>
      <c r="D46" s="1610">
        <v>210.28899999999999</v>
      </c>
      <c r="E46" s="1361">
        <f>D46/D35-1</f>
        <v>0.40192666666666654</v>
      </c>
      <c r="F46" s="1610">
        <v>258.20999999999998</v>
      </c>
      <c r="G46" s="1361">
        <f>F46/F35-1</f>
        <v>-0.40950878155872672</v>
      </c>
      <c r="H46" s="1362">
        <f>(B46*12/(F46-D46))</f>
        <v>5586.4343398510064</v>
      </c>
    </row>
    <row r="47" spans="1:17" hidden="1"/>
    <row r="48" spans="1:17" s="1317" customFormat="1" ht="15.6" hidden="1">
      <c r="A48" s="1390" t="s">
        <v>1267</v>
      </c>
      <c r="B48" s="1314"/>
      <c r="C48" s="1315"/>
      <c r="D48" s="1314"/>
      <c r="E48" s="1314"/>
      <c r="F48" s="1391"/>
      <c r="G48" s="1314"/>
      <c r="H48" s="1311"/>
      <c r="J48" s="1318"/>
      <c r="K48" s="1318"/>
    </row>
    <row r="49" spans="1:12" s="1317" customFormat="1" ht="15.75" hidden="1" customHeight="1">
      <c r="A49" s="3018" t="s">
        <v>1238</v>
      </c>
      <c r="B49" s="1481" t="s">
        <v>1239</v>
      </c>
      <c r="C49" s="1320"/>
      <c r="D49" s="1319"/>
      <c r="E49" s="1319"/>
      <c r="F49" s="1319" t="s">
        <v>1240</v>
      </c>
      <c r="G49" s="1319"/>
      <c r="H49" s="3018" t="s">
        <v>1298</v>
      </c>
      <c r="J49" s="1318"/>
      <c r="K49" s="1318"/>
      <c r="L49" s="1318"/>
    </row>
    <row r="50" spans="1:12" s="1317" customFormat="1" ht="69" hidden="1" customHeight="1">
      <c r="A50" s="2909"/>
      <c r="B50" s="1322" t="s">
        <v>338</v>
      </c>
      <c r="C50" s="1323" t="s">
        <v>1241</v>
      </c>
      <c r="D50" s="1322" t="s">
        <v>385</v>
      </c>
      <c r="E50" s="1324" t="s">
        <v>1241</v>
      </c>
      <c r="F50" s="1325" t="s">
        <v>340</v>
      </c>
      <c r="G50" s="1324" t="s">
        <v>1241</v>
      </c>
      <c r="H50" s="3020"/>
    </row>
    <row r="51" spans="1:12" s="1317" customFormat="1" ht="15.6" hidden="1">
      <c r="A51" s="2909"/>
      <c r="B51" s="1326" t="s">
        <v>1242</v>
      </c>
      <c r="C51" s="1327" t="s">
        <v>87</v>
      </c>
      <c r="D51" s="1326" t="s">
        <v>1243</v>
      </c>
      <c r="E51" s="1328" t="s">
        <v>87</v>
      </c>
      <c r="F51" s="1325"/>
      <c r="G51" s="1364" t="s">
        <v>87</v>
      </c>
      <c r="H51" s="1404" t="s">
        <v>1270</v>
      </c>
      <c r="J51" s="1318"/>
      <c r="K51" s="1318"/>
      <c r="L51" s="1318"/>
    </row>
    <row r="52" spans="1:12" s="1317" customFormat="1" ht="15.6" hidden="1">
      <c r="A52" s="2909"/>
      <c r="B52" s="1325" t="s">
        <v>99</v>
      </c>
      <c r="C52" s="1327"/>
      <c r="D52" s="1325" t="s">
        <v>344</v>
      </c>
      <c r="E52" s="1328"/>
      <c r="F52" s="1325" t="s">
        <v>344</v>
      </c>
      <c r="G52" s="1328"/>
      <c r="H52" s="1325" t="s">
        <v>1244</v>
      </c>
      <c r="J52" s="1318"/>
      <c r="K52" s="1318"/>
      <c r="L52" s="1318"/>
    </row>
    <row r="53" spans="1:12" s="1317" customFormat="1" ht="15.6" hidden="1">
      <c r="A53" s="1331" t="s">
        <v>292</v>
      </c>
      <c r="B53" s="1332">
        <v>364484.63</v>
      </c>
      <c r="C53" s="1330">
        <f>B53/B31-1</f>
        <v>0</v>
      </c>
      <c r="D53" s="1332">
        <v>151.36000000000001</v>
      </c>
      <c r="E53" s="1330">
        <f>D53/D31-1</f>
        <v>0</v>
      </c>
      <c r="F53" s="1332">
        <v>671</v>
      </c>
      <c r="G53" s="1330">
        <f>F53/F31-1</f>
        <v>0</v>
      </c>
      <c r="H53" s="1333">
        <f>(B53*6/(F53-D53))</f>
        <v>4208.5054653221468</v>
      </c>
      <c r="J53" s="1318"/>
      <c r="K53" s="1318"/>
      <c r="L53" s="1318"/>
    </row>
    <row r="54" spans="1:12" s="1317" customFormat="1" ht="15.6" hidden="1">
      <c r="A54" s="1331" t="s">
        <v>276</v>
      </c>
      <c r="B54" s="1332">
        <v>684381.17</v>
      </c>
      <c r="C54" s="1330">
        <f>B54/B32-1</f>
        <v>0</v>
      </c>
      <c r="D54" s="1332">
        <v>162.12</v>
      </c>
      <c r="E54" s="1330">
        <f>D54/D32-1</f>
        <v>0</v>
      </c>
      <c r="F54" s="1332">
        <v>1153.6500000000001</v>
      </c>
      <c r="G54" s="1330">
        <f>F54/F32-1</f>
        <v>0</v>
      </c>
      <c r="H54" s="1333">
        <f>(B54*6/(F54-D54))</f>
        <v>4141.3643762669817</v>
      </c>
      <c r="J54" s="1318"/>
      <c r="K54" s="1318"/>
      <c r="L54" s="1318"/>
    </row>
    <row r="55" spans="1:12" s="1317" customFormat="1" ht="15.6" hidden="1">
      <c r="A55" s="1331" t="s">
        <v>348</v>
      </c>
      <c r="B55" s="1332">
        <v>942948.34</v>
      </c>
      <c r="C55" s="1330">
        <f>B55/B33-1</f>
        <v>0</v>
      </c>
      <c r="D55" s="1332">
        <v>414.16</v>
      </c>
      <c r="E55" s="1330" t="e">
        <f>D55/D33-1</f>
        <v>#DIV/0!</v>
      </c>
      <c r="F55" s="1332">
        <v>1847.1</v>
      </c>
      <c r="G55" s="1330" t="e">
        <f>F55/F33-1</f>
        <v>#DIV/0!</v>
      </c>
      <c r="H55" s="1333">
        <f>(B55*6/(F55-D55))</f>
        <v>3948.3090987759438</v>
      </c>
      <c r="J55" s="1318"/>
      <c r="K55" s="1318"/>
      <c r="L55" s="1318"/>
    </row>
    <row r="56" spans="1:12" s="1317" customFormat="1" ht="15.6" hidden="1">
      <c r="A56" s="1331" t="s">
        <v>280</v>
      </c>
      <c r="B56" s="1332">
        <v>1640145.12</v>
      </c>
      <c r="C56" s="1330">
        <f>B56/B34-1</f>
        <v>0</v>
      </c>
      <c r="D56" s="1332">
        <v>472.06</v>
      </c>
      <c r="E56" s="1330">
        <f>D56/D34-1</f>
        <v>0</v>
      </c>
      <c r="F56" s="1332">
        <v>2747.68</v>
      </c>
      <c r="G56" s="1330">
        <f>F56/F34-1</f>
        <v>0</v>
      </c>
      <c r="H56" s="1333">
        <f>(B56*6/(F56-D56))</f>
        <v>4324.4789200305859</v>
      </c>
      <c r="J56" s="1318"/>
      <c r="K56" s="1318"/>
      <c r="L56" s="1318"/>
    </row>
    <row r="57" spans="1:12" s="1317" customFormat="1" ht="21.75" hidden="1" customHeight="1">
      <c r="A57" s="1331" t="s">
        <v>449</v>
      </c>
      <c r="B57" s="1332"/>
      <c r="C57" s="1330"/>
      <c r="D57" s="1332"/>
      <c r="E57" s="1330"/>
      <c r="F57" s="1332">
        <v>437.28</v>
      </c>
      <c r="G57" s="1330">
        <f>F57/F35-1</f>
        <v>0</v>
      </c>
      <c r="H57" s="1333"/>
      <c r="J57" s="1318"/>
      <c r="K57" s="1318"/>
      <c r="L57" s="1318"/>
    </row>
    <row r="58" spans="1:12" s="1317" customFormat="1" ht="21.75" customHeight="1">
      <c r="A58" s="1334"/>
      <c r="B58" s="1335"/>
      <c r="C58" s="1405"/>
      <c r="D58" s="1335"/>
      <c r="E58" s="1405"/>
      <c r="F58" s="1335"/>
      <c r="G58" s="1405"/>
      <c r="H58" s="1337"/>
      <c r="J58" s="1318"/>
      <c r="K58" s="1318"/>
      <c r="L58" s="1318"/>
    </row>
    <row r="59" spans="1:12" s="1317" customFormat="1" ht="15.6">
      <c r="A59" s="1390" t="s">
        <v>1271</v>
      </c>
      <c r="B59" s="1314"/>
      <c r="C59" s="1315"/>
      <c r="D59" s="1314"/>
      <c r="E59" s="1314"/>
      <c r="F59" s="1391"/>
      <c r="G59" s="1314"/>
      <c r="H59" s="1311"/>
      <c r="J59" s="1318"/>
      <c r="K59" s="1318"/>
    </row>
    <row r="60" spans="1:12" s="1317" customFormat="1" ht="15.75" customHeight="1">
      <c r="A60" s="3018" t="s">
        <v>1238</v>
      </c>
      <c r="B60" s="1481" t="s">
        <v>1239</v>
      </c>
      <c r="C60" s="1320"/>
      <c r="D60" s="1319"/>
      <c r="E60" s="1319"/>
      <c r="F60" s="1319" t="s">
        <v>1240</v>
      </c>
      <c r="G60" s="1319"/>
      <c r="H60" s="3018" t="s">
        <v>1299</v>
      </c>
      <c r="I60" s="3018" t="s">
        <v>336</v>
      </c>
      <c r="J60" s="1318"/>
      <c r="K60" s="1318"/>
      <c r="L60" s="1318"/>
    </row>
    <row r="61" spans="1:12" s="1317" customFormat="1" ht="69" customHeight="1">
      <c r="A61" s="2909"/>
      <c r="B61" s="1322" t="s">
        <v>338</v>
      </c>
      <c r="C61" s="1323" t="s">
        <v>1241</v>
      </c>
      <c r="D61" s="1322" t="s">
        <v>385</v>
      </c>
      <c r="E61" s="1324" t="s">
        <v>1241</v>
      </c>
      <c r="F61" s="1325" t="s">
        <v>340</v>
      </c>
      <c r="G61" s="1324" t="s">
        <v>1241</v>
      </c>
      <c r="H61" s="3020"/>
      <c r="I61" s="3020"/>
    </row>
    <row r="62" spans="1:12" s="1317" customFormat="1" ht="15.6">
      <c r="A62" s="2909"/>
      <c r="B62" s="1326" t="s">
        <v>1242</v>
      </c>
      <c r="C62" s="1327" t="s">
        <v>87</v>
      </c>
      <c r="D62" s="1326" t="s">
        <v>1243</v>
      </c>
      <c r="E62" s="1328" t="s">
        <v>87</v>
      </c>
      <c r="F62" s="1325"/>
      <c r="G62" s="1364" t="s">
        <v>87</v>
      </c>
      <c r="H62" s="1404" t="s">
        <v>1270</v>
      </c>
      <c r="I62" s="1404" t="s">
        <v>1270</v>
      </c>
      <c r="J62" s="1318"/>
      <c r="K62" s="1318"/>
      <c r="L62" s="1318"/>
    </row>
    <row r="63" spans="1:12" s="1317" customFormat="1" ht="15.6">
      <c r="A63" s="2909"/>
      <c r="B63" s="1325" t="s">
        <v>99</v>
      </c>
      <c r="C63" s="1327"/>
      <c r="D63" s="1325" t="s">
        <v>344</v>
      </c>
      <c r="E63" s="1328"/>
      <c r="F63" s="1325" t="s">
        <v>344</v>
      </c>
      <c r="G63" s="1328"/>
      <c r="H63" s="1325" t="s">
        <v>1244</v>
      </c>
      <c r="I63" s="1325" t="s">
        <v>1244</v>
      </c>
      <c r="J63" s="1318"/>
      <c r="K63" s="1318"/>
      <c r="L63" s="1318"/>
    </row>
    <row r="64" spans="1:12" s="1317" customFormat="1" ht="15.6">
      <c r="A64" s="1331" t="s">
        <v>292</v>
      </c>
      <c r="B64" s="1332">
        <v>397387.35</v>
      </c>
      <c r="C64" s="1330">
        <f>B64/B53-1</f>
        <v>9.0271899805486999E-2</v>
      </c>
      <c r="D64" s="1332">
        <v>158.29</v>
      </c>
      <c r="E64" s="1330">
        <f>D64/D53-1</f>
        <v>4.5784883720930036E-2</v>
      </c>
      <c r="F64" s="1332">
        <v>690.41</v>
      </c>
      <c r="G64" s="1330">
        <f>F64/F53-1</f>
        <v>2.8926974664679639E-2</v>
      </c>
      <c r="H64" s="1333">
        <f>(B64*6/(F64-D64))</f>
        <v>4480.8015109373819</v>
      </c>
      <c r="I64" s="1333">
        <f>H53+H64</f>
        <v>8689.3069762595296</v>
      </c>
      <c r="J64" s="1318"/>
      <c r="K64" s="1318"/>
      <c r="L64" s="1318"/>
    </row>
    <row r="65" spans="1:12" s="1317" customFormat="1" ht="15.6">
      <c r="A65" s="1331" t="s">
        <v>276</v>
      </c>
      <c r="B65" s="1332">
        <v>740597.33</v>
      </c>
      <c r="C65" s="1330">
        <f>B65/B54-1</f>
        <v>8.2141593696974269E-2</v>
      </c>
      <c r="D65" s="1332">
        <v>168.14</v>
      </c>
      <c r="E65" s="1330">
        <f>D65/D54-1</f>
        <v>3.7132987910189819E-2</v>
      </c>
      <c r="F65" s="1332">
        <v>1174.03</v>
      </c>
      <c r="G65" s="1330">
        <f>F65/F54-1</f>
        <v>1.7665669830537745E-2</v>
      </c>
      <c r="H65" s="1333">
        <f>(B65*6/(F65-D65))</f>
        <v>4417.5645249480558</v>
      </c>
      <c r="I65" s="1333">
        <f>H54+H65</f>
        <v>8558.9289012150366</v>
      </c>
      <c r="J65" s="1318"/>
      <c r="K65" s="1318"/>
      <c r="L65" s="1318"/>
    </row>
    <row r="66" spans="1:12" s="1317" customFormat="1" ht="15.6">
      <c r="A66" s="1331" t="s">
        <v>348</v>
      </c>
      <c r="B66" s="1332">
        <v>1021368.45</v>
      </c>
      <c r="C66" s="1330">
        <f>B66/B55-1</f>
        <v>8.3164799887128549E-2</v>
      </c>
      <c r="D66" s="1332">
        <v>432.48</v>
      </c>
      <c r="E66" s="1330">
        <f>D66/D55-1</f>
        <v>4.4234112420320715E-2</v>
      </c>
      <c r="F66" s="1332">
        <v>1817.25</v>
      </c>
      <c r="G66" s="1330">
        <f>F66/F55-1</f>
        <v>-1.6160467760272801E-2</v>
      </c>
      <c r="H66" s="1333">
        <f>(B66*6/(F66-D66))</f>
        <v>4425.4357763383086</v>
      </c>
      <c r="I66" s="1333">
        <f>H55+H66</f>
        <v>8373.7448751142529</v>
      </c>
      <c r="J66" s="1318"/>
      <c r="K66" s="1318"/>
      <c r="L66" s="1318"/>
    </row>
    <row r="67" spans="1:12" s="1317" customFormat="1" ht="15.6">
      <c r="A67" s="1331" t="s">
        <v>280</v>
      </c>
      <c r="B67" s="1332">
        <v>1766107.62</v>
      </c>
      <c r="C67" s="1330">
        <f>B67/B56-1</f>
        <v>7.6799606610419957E-2</v>
      </c>
      <c r="D67" s="1332">
        <v>495.34</v>
      </c>
      <c r="E67" s="1330">
        <f>D67/D56-1</f>
        <v>4.9315764945134122E-2</v>
      </c>
      <c r="F67" s="1332">
        <v>2688.41</v>
      </c>
      <c r="G67" s="1330">
        <f>F67/F56-1</f>
        <v>-2.157092528969895E-2</v>
      </c>
      <c r="H67" s="1333">
        <f>(B67*6/(F67-D67))</f>
        <v>4831.877559767815</v>
      </c>
      <c r="I67" s="1611">
        <f>H56+H67</f>
        <v>9156.3564797984</v>
      </c>
      <c r="J67" s="1318"/>
      <c r="K67" s="1318"/>
      <c r="L67" s="1318"/>
    </row>
    <row r="68" spans="1:12" s="1317" customFormat="1" ht="21.75" customHeight="1">
      <c r="A68" s="1331" t="s">
        <v>449</v>
      </c>
      <c r="B68" s="1332"/>
      <c r="C68" s="1330"/>
      <c r="D68" s="1332"/>
      <c r="E68" s="1330"/>
      <c r="F68" s="1332">
        <v>422.2</v>
      </c>
      <c r="G68" s="1330">
        <f>F68/F57-1</f>
        <v>-3.4485912916209283E-2</v>
      </c>
      <c r="H68" s="1333"/>
      <c r="I68" s="1333"/>
      <c r="J68" s="1318"/>
      <c r="K68" s="1318"/>
      <c r="L68" s="1318"/>
    </row>
    <row r="69" spans="1:12" s="1317" customFormat="1" ht="21.75" customHeight="1">
      <c r="A69" s="1334"/>
      <c r="B69" s="1335"/>
      <c r="C69" s="1405"/>
      <c r="D69" s="1335"/>
      <c r="E69" s="1405"/>
      <c r="F69" s="1335"/>
      <c r="G69" s="1405"/>
      <c r="H69" s="1337"/>
      <c r="J69" s="1318"/>
      <c r="K69" s="1318"/>
      <c r="L69" s="1318"/>
    </row>
    <row r="70" spans="1:12">
      <c r="A70" s="1390" t="s">
        <v>1358</v>
      </c>
      <c r="B70" s="1314"/>
      <c r="C70" s="1315"/>
      <c r="D70" s="1314"/>
      <c r="E70" s="1314"/>
      <c r="F70" s="1391"/>
      <c r="G70" s="1314"/>
    </row>
    <row r="71" spans="1:12" ht="18.75" customHeight="1">
      <c r="A71" s="3018" t="s">
        <v>1238</v>
      </c>
      <c r="B71" s="1319" t="s">
        <v>1239</v>
      </c>
      <c r="C71" s="1320"/>
      <c r="D71" s="1319"/>
      <c r="E71" s="1319"/>
      <c r="F71" s="1319" t="s">
        <v>1240</v>
      </c>
      <c r="G71" s="1319"/>
      <c r="H71" s="3018" t="s">
        <v>1298</v>
      </c>
    </row>
    <row r="72" spans="1:12" ht="66">
      <c r="A72" s="3019"/>
      <c r="B72" s="1322" t="s">
        <v>338</v>
      </c>
      <c r="C72" s="1323" t="s">
        <v>1241</v>
      </c>
      <c r="D72" s="1322" t="s">
        <v>385</v>
      </c>
      <c r="E72" s="1324" t="s">
        <v>1241</v>
      </c>
      <c r="F72" s="1325" t="s">
        <v>340</v>
      </c>
      <c r="G72" s="1324" t="s">
        <v>1241</v>
      </c>
      <c r="H72" s="3020"/>
    </row>
    <row r="73" spans="1:12" ht="15.6">
      <c r="A73" s="3019"/>
      <c r="B73" s="1326" t="s">
        <v>1242</v>
      </c>
      <c r="C73" s="1327" t="s">
        <v>87</v>
      </c>
      <c r="D73" s="1326" t="s">
        <v>1243</v>
      </c>
      <c r="E73" s="1328" t="s">
        <v>87</v>
      </c>
      <c r="F73" s="1325"/>
      <c r="G73" s="1364"/>
      <c r="H73" s="1404" t="s">
        <v>1270</v>
      </c>
    </row>
    <row r="74" spans="1:12">
      <c r="A74" s="3020"/>
      <c r="B74" s="1325" t="s">
        <v>99</v>
      </c>
      <c r="C74" s="1327"/>
      <c r="D74" s="1325" t="s">
        <v>344</v>
      </c>
      <c r="E74" s="1328"/>
      <c r="F74" s="1325" t="s">
        <v>344</v>
      </c>
      <c r="G74" s="1328" t="s">
        <v>87</v>
      </c>
      <c r="H74" s="1325" t="s">
        <v>1244</v>
      </c>
    </row>
    <row r="75" spans="1:12">
      <c r="A75" s="1331" t="s">
        <v>292</v>
      </c>
      <c r="B75" s="1332">
        <v>397387.35</v>
      </c>
      <c r="C75" s="1330">
        <f>B75/B64-1</f>
        <v>0</v>
      </c>
      <c r="D75" s="1332">
        <v>158.29</v>
      </c>
      <c r="E75" s="1330">
        <f>D75/D64-1</f>
        <v>0</v>
      </c>
      <c r="F75" s="1332">
        <v>690.41</v>
      </c>
      <c r="G75" s="1330">
        <f>F75/F64-1</f>
        <v>0</v>
      </c>
      <c r="H75" s="1333">
        <f>(B75*6/(F75-D75))</f>
        <v>4480.8015109373819</v>
      </c>
    </row>
    <row r="76" spans="1:12">
      <c r="A76" s="1331" t="s">
        <v>276</v>
      </c>
      <c r="B76" s="1332">
        <v>740597.33</v>
      </c>
      <c r="C76" s="1330">
        <f>B76/B65-1</f>
        <v>0</v>
      </c>
      <c r="D76" s="1332">
        <v>168.14</v>
      </c>
      <c r="E76" s="1330">
        <f>D76/D65-1</f>
        <v>0</v>
      </c>
      <c r="F76" s="1332">
        <v>1174.03</v>
      </c>
      <c r="G76" s="1330">
        <f>F76/F65-1</f>
        <v>0</v>
      </c>
      <c r="H76" s="1333">
        <f>(B76*6/(F76-D76))</f>
        <v>4417.5645249480558</v>
      </c>
    </row>
    <row r="77" spans="1:12">
      <c r="A77" s="1331" t="s">
        <v>348</v>
      </c>
      <c r="B77" s="1332">
        <v>1021368.45</v>
      </c>
      <c r="C77" s="1330">
        <f>B77/B66-1</f>
        <v>0</v>
      </c>
      <c r="D77" s="1332">
        <v>432.48</v>
      </c>
      <c r="E77" s="1330">
        <f>D77/D66-1</f>
        <v>0</v>
      </c>
      <c r="F77" s="1332">
        <v>1817.25</v>
      </c>
      <c r="G77" s="1330">
        <f>F77/F66-1</f>
        <v>0</v>
      </c>
      <c r="H77" s="1333">
        <f>(B77*6/(F77-D77))</f>
        <v>4425.4357763383086</v>
      </c>
    </row>
    <row r="78" spans="1:12">
      <c r="A78" s="1331" t="s">
        <v>280</v>
      </c>
      <c r="B78" s="1332">
        <v>1766107.62</v>
      </c>
      <c r="C78" s="1330">
        <f>B78/B67-1</f>
        <v>0</v>
      </c>
      <c r="D78" s="1332">
        <v>495.34</v>
      </c>
      <c r="E78" s="1330">
        <f>D78/D67-1</f>
        <v>0</v>
      </c>
      <c r="F78" s="1332">
        <v>2688.41</v>
      </c>
      <c r="G78" s="1330">
        <f>F78/F67-1</f>
        <v>0</v>
      </c>
      <c r="H78" s="1333">
        <f>(B78*6/(F78-D78))</f>
        <v>4831.877559767815</v>
      </c>
    </row>
    <row r="79" spans="1:12" ht="27">
      <c r="A79" s="1331" t="s">
        <v>449</v>
      </c>
      <c r="B79" s="1332"/>
      <c r="C79" s="1330"/>
      <c r="D79" s="1332"/>
      <c r="E79" s="1330"/>
      <c r="F79" s="1332">
        <v>422.2</v>
      </c>
      <c r="G79" s="1330">
        <f>F79/F68-1</f>
        <v>0</v>
      </c>
      <c r="H79" s="1333"/>
    </row>
    <row r="81" spans="1:9">
      <c r="A81" s="1390" t="s">
        <v>1359</v>
      </c>
      <c r="B81" s="1314"/>
      <c r="C81" s="1315"/>
      <c r="D81" s="1314"/>
      <c r="E81" s="1314"/>
      <c r="F81" s="1391"/>
      <c r="G81" s="1314"/>
    </row>
    <row r="82" spans="1:9" ht="18.75" customHeight="1">
      <c r="A82" s="3018" t="s">
        <v>1238</v>
      </c>
      <c r="B82" s="1319" t="s">
        <v>1239</v>
      </c>
      <c r="C82" s="1320"/>
      <c r="D82" s="1319"/>
      <c r="E82" s="1319"/>
      <c r="F82" s="1319" t="s">
        <v>1240</v>
      </c>
      <c r="G82" s="1319"/>
      <c r="H82" s="3018" t="s">
        <v>1299</v>
      </c>
      <c r="I82" s="3018" t="s">
        <v>336</v>
      </c>
    </row>
    <row r="83" spans="1:9" ht="66">
      <c r="A83" s="3019"/>
      <c r="B83" s="1322" t="s">
        <v>338</v>
      </c>
      <c r="C83" s="1323" t="s">
        <v>1241</v>
      </c>
      <c r="D83" s="1322" t="s">
        <v>385</v>
      </c>
      <c r="E83" s="1324" t="s">
        <v>1241</v>
      </c>
      <c r="F83" s="1325" t="s">
        <v>340</v>
      </c>
      <c r="G83" s="1324" t="s">
        <v>1241</v>
      </c>
      <c r="H83" s="3020"/>
      <c r="I83" s="3020"/>
    </row>
    <row r="84" spans="1:9" ht="15.6">
      <c r="A84" s="3019"/>
      <c r="B84" s="1326" t="s">
        <v>1242</v>
      </c>
      <c r="C84" s="1327" t="s">
        <v>87</v>
      </c>
      <c r="D84" s="1326" t="s">
        <v>1243</v>
      </c>
      <c r="E84" s="1328" t="s">
        <v>87</v>
      </c>
      <c r="F84" s="1325"/>
      <c r="G84" s="1364"/>
      <c r="H84" s="1404" t="s">
        <v>1270</v>
      </c>
      <c r="I84" s="1404" t="s">
        <v>1270</v>
      </c>
    </row>
    <row r="85" spans="1:9">
      <c r="A85" s="3020"/>
      <c r="B85" s="1325" t="s">
        <v>99</v>
      </c>
      <c r="C85" s="1327"/>
      <c r="D85" s="1325" t="s">
        <v>344</v>
      </c>
      <c r="E85" s="1328"/>
      <c r="F85" s="1325" t="s">
        <v>344</v>
      </c>
      <c r="G85" s="1328" t="s">
        <v>87</v>
      </c>
      <c r="H85" s="1325" t="s">
        <v>1244</v>
      </c>
      <c r="I85" s="1325" t="s">
        <v>1244</v>
      </c>
    </row>
    <row r="86" spans="1:9">
      <c r="A86" s="1331" t="s">
        <v>292</v>
      </c>
      <c r="B86" s="1332">
        <v>448807.96</v>
      </c>
      <c r="C86" s="1330">
        <f>B86/B75-1</f>
        <v>0.12939669569250256</v>
      </c>
      <c r="D86" s="1332">
        <v>182.92</v>
      </c>
      <c r="E86" s="1330">
        <f>D86/D75-1</f>
        <v>0.15560048013140437</v>
      </c>
      <c r="F86" s="1332">
        <v>779.62</v>
      </c>
      <c r="G86" s="1330">
        <f>F86/F75-1</f>
        <v>0.12921307628800283</v>
      </c>
      <c r="H86" s="1333">
        <f>(B86*6/(F86-D86))</f>
        <v>4512.9005530417298</v>
      </c>
      <c r="I86" s="1333">
        <f>H75+H86</f>
        <v>8993.7020639791117</v>
      </c>
    </row>
    <row r="87" spans="1:9">
      <c r="A87" s="1331" t="s">
        <v>276</v>
      </c>
      <c r="B87" s="1332">
        <v>815684.34</v>
      </c>
      <c r="C87" s="1330">
        <f>B87/B76-1</f>
        <v>0.10138709249734945</v>
      </c>
      <c r="D87" s="1332">
        <v>173.48</v>
      </c>
      <c r="E87" s="1330">
        <f>D87/D76-1</f>
        <v>3.1759248245509797E-2</v>
      </c>
      <c r="F87" s="1332">
        <v>1325.68</v>
      </c>
      <c r="G87" s="1330">
        <f>F87/F76-1</f>
        <v>0.12917046412783328</v>
      </c>
      <c r="H87" s="1333">
        <f>(B87*6/(F87-D87))</f>
        <v>4247.618503731991</v>
      </c>
      <c r="I87" s="1333">
        <f>H76+H87</f>
        <v>8665.1830286800468</v>
      </c>
    </row>
    <row r="88" spans="1:9">
      <c r="A88" s="1331" t="s">
        <v>348</v>
      </c>
      <c r="B88" s="1332">
        <v>1123518.33</v>
      </c>
      <c r="C88" s="1330">
        <f>B88/B77-1</f>
        <v>0.10001276228965184</v>
      </c>
      <c r="D88" s="1332">
        <v>480.74</v>
      </c>
      <c r="E88" s="1330">
        <f>D88/D77-1</f>
        <v>0.11158897521272659</v>
      </c>
      <c r="F88" s="1332">
        <v>2041.19</v>
      </c>
      <c r="G88" s="1330">
        <f>F88/F77-1</f>
        <v>0.12323015545467064</v>
      </c>
      <c r="H88" s="1333">
        <f>(B88*6/(F88-D88))</f>
        <v>4319.9781985965592</v>
      </c>
      <c r="I88" s="1333">
        <f>H77+H88</f>
        <v>8745.4139749348687</v>
      </c>
    </row>
    <row r="89" spans="1:9">
      <c r="A89" s="1331" t="s">
        <v>280</v>
      </c>
      <c r="B89" s="1332">
        <v>1832395.98</v>
      </c>
      <c r="C89" s="1330">
        <f>B89/B78-1</f>
        <v>3.7533590393545646E-2</v>
      </c>
      <c r="D89" s="1332">
        <v>509.65</v>
      </c>
      <c r="E89" s="1330">
        <f>D89/D78-1</f>
        <v>2.8889247789397166E-2</v>
      </c>
      <c r="F89" s="1332">
        <v>3019.54</v>
      </c>
      <c r="G89" s="1330">
        <f>F89/F78-1</f>
        <v>0.12316945703966287</v>
      </c>
      <c r="H89" s="1333">
        <f>(B89*6/(F89-D89))</f>
        <v>4380.4214049221282</v>
      </c>
      <c r="I89" s="1611">
        <f>H78+H89</f>
        <v>9212.2989646899441</v>
      </c>
    </row>
    <row r="90" spans="1:9" ht="27">
      <c r="A90" s="1331" t="s">
        <v>449</v>
      </c>
      <c r="B90" s="1332"/>
      <c r="C90" s="1330"/>
      <c r="D90" s="1332"/>
      <c r="E90" s="1330"/>
      <c r="F90" s="1332">
        <v>632.74</v>
      </c>
      <c r="G90" s="1330">
        <f>F90/F79-1</f>
        <v>0.49867361440075797</v>
      </c>
      <c r="H90" s="1333"/>
      <c r="I90" s="1333"/>
    </row>
    <row r="92" spans="1:9" s="2210" customFormat="1" hidden="1">
      <c r="A92" s="2206" t="s">
        <v>1253</v>
      </c>
      <c r="B92" s="2207"/>
      <c r="C92" s="2208"/>
      <c r="D92" s="2207"/>
      <c r="E92" s="2207"/>
      <c r="F92" s="2209"/>
      <c r="G92" s="2207"/>
      <c r="I92" s="2222" t="s">
        <v>1823</v>
      </c>
    </row>
    <row r="93" spans="1:9" s="2210" customFormat="1" ht="18.75" hidden="1" customHeight="1">
      <c r="A93" s="3021" t="s">
        <v>1238</v>
      </c>
      <c r="B93" s="2211" t="s">
        <v>1239</v>
      </c>
      <c r="C93" s="2212"/>
      <c r="D93" s="2211"/>
      <c r="E93" s="2211"/>
      <c r="F93" s="2211" t="s">
        <v>1240</v>
      </c>
      <c r="G93" s="2211"/>
      <c r="H93" s="3021" t="s">
        <v>336</v>
      </c>
    </row>
    <row r="94" spans="1:9" s="2210" customFormat="1" ht="66" hidden="1">
      <c r="A94" s="3022"/>
      <c r="B94" s="2213" t="s">
        <v>338</v>
      </c>
      <c r="C94" s="2214" t="s">
        <v>1241</v>
      </c>
      <c r="D94" s="2213" t="s">
        <v>385</v>
      </c>
      <c r="E94" s="2215" t="s">
        <v>1241</v>
      </c>
      <c r="F94" s="2216" t="s">
        <v>340</v>
      </c>
      <c r="G94" s="2215" t="s">
        <v>1241</v>
      </c>
      <c r="H94" s="3023"/>
    </row>
    <row r="95" spans="1:9" s="2210" customFormat="1" ht="15.6" hidden="1">
      <c r="A95" s="3022"/>
      <c r="B95" s="2217" t="s">
        <v>1242</v>
      </c>
      <c r="C95" s="2218" t="s">
        <v>87</v>
      </c>
      <c r="D95" s="2217" t="s">
        <v>1243</v>
      </c>
      <c r="E95" s="2216" t="s">
        <v>87</v>
      </c>
      <c r="F95" s="2216"/>
      <c r="G95" s="2217"/>
      <c r="H95" s="2217" t="s">
        <v>1270</v>
      </c>
    </row>
    <row r="96" spans="1:9" s="2210" customFormat="1" hidden="1">
      <c r="A96" s="3023"/>
      <c r="B96" s="2216" t="s">
        <v>99</v>
      </c>
      <c r="C96" s="2218"/>
      <c r="D96" s="2216" t="s">
        <v>344</v>
      </c>
      <c r="E96" s="2216"/>
      <c r="F96" s="2216" t="s">
        <v>344</v>
      </c>
      <c r="G96" s="2216" t="s">
        <v>87</v>
      </c>
      <c r="H96" s="2216" t="s">
        <v>1244</v>
      </c>
    </row>
    <row r="97" spans="1:9" s="2210" customFormat="1" hidden="1">
      <c r="A97" s="2213" t="s">
        <v>292</v>
      </c>
      <c r="B97" s="2219">
        <v>556235.52000000002</v>
      </c>
      <c r="C97" s="2220">
        <f>B97/B86-1</f>
        <v>0.23936197566549389</v>
      </c>
      <c r="D97" s="2219">
        <v>233.02</v>
      </c>
      <c r="E97" s="2220">
        <f>D97/D75-1</f>
        <v>0.47210815591635624</v>
      </c>
      <c r="F97" s="2219">
        <v>1026.03</v>
      </c>
      <c r="G97" s="2220">
        <f>F97/F75-1</f>
        <v>0.48611694500369351</v>
      </c>
      <c r="H97" s="2221">
        <f>(B97*12/(F97-D97))</f>
        <v>8417.0770103781797</v>
      </c>
    </row>
    <row r="98" spans="1:9" s="2210" customFormat="1" hidden="1">
      <c r="A98" s="2213" t="s">
        <v>276</v>
      </c>
      <c r="B98" s="2219">
        <v>1016086.23</v>
      </c>
      <c r="C98" s="2220">
        <f>B98/B76-1</f>
        <v>0.37198203239539085</v>
      </c>
      <c r="D98" s="2219">
        <v>249.17</v>
      </c>
      <c r="E98" s="2220">
        <f>D98/D76-1</f>
        <v>0.48191982871416683</v>
      </c>
      <c r="F98" s="2219">
        <v>1721.28</v>
      </c>
      <c r="G98" s="2220">
        <f>F98/F76-1</f>
        <v>0.46612948561791434</v>
      </c>
      <c r="H98" s="2221">
        <f>(B98*12/(F98-D98))</f>
        <v>8282.69270638743</v>
      </c>
    </row>
    <row r="99" spans="1:9" s="2210" customFormat="1" hidden="1">
      <c r="A99" s="2213" t="s">
        <v>348</v>
      </c>
      <c r="B99" s="2219">
        <v>1443155.57</v>
      </c>
      <c r="C99" s="2220">
        <f>B99/B77-1</f>
        <v>0.41296274620583806</v>
      </c>
      <c r="D99" s="2219">
        <v>600.1</v>
      </c>
      <c r="E99" s="2220">
        <f>D99/D77-1</f>
        <v>0.38757861635220126</v>
      </c>
      <c r="F99" s="2219">
        <v>2789.99</v>
      </c>
      <c r="G99" s="2220">
        <f>F99/F77-1</f>
        <v>0.53528133168248715</v>
      </c>
      <c r="H99" s="2221">
        <f>(B99*12/(F99-D99))</f>
        <v>7908.0989638748979</v>
      </c>
    </row>
    <row r="100" spans="1:9" s="2210" customFormat="1" hidden="1">
      <c r="A100" s="2213" t="s">
        <v>280</v>
      </c>
      <c r="B100" s="2219">
        <v>2624875.9300000002</v>
      </c>
      <c r="C100" s="2220">
        <f>B100/B78-1</f>
        <v>0.48624913922289736</v>
      </c>
      <c r="D100" s="2219">
        <v>684.4</v>
      </c>
      <c r="E100" s="2220">
        <f>D100/D78-1</f>
        <v>0.3816772318003796</v>
      </c>
      <c r="F100" s="2219">
        <v>4322.84</v>
      </c>
      <c r="G100" s="2220">
        <f>F100/F78-1</f>
        <v>0.60795414389918223</v>
      </c>
      <c r="H100" s="2221">
        <f>(B100*12/(F100-D100))</f>
        <v>8657.1473378700775</v>
      </c>
    </row>
    <row r="101" spans="1:9" s="2210" customFormat="1" ht="27" hidden="1">
      <c r="A101" s="2213" t="s">
        <v>449</v>
      </c>
      <c r="B101" s="2219">
        <v>28996.04</v>
      </c>
      <c r="C101" s="2220" t="e">
        <f>B101/B79-1</f>
        <v>#DIV/0!</v>
      </c>
      <c r="D101" s="2219">
        <v>273.31</v>
      </c>
      <c r="E101" s="2220" t="e">
        <f>D101/D79-1</f>
        <v>#DIV/0!</v>
      </c>
      <c r="F101" s="2219">
        <v>335.61</v>
      </c>
      <c r="G101" s="2220">
        <f>F101/F79-1</f>
        <v>-0.20509237328280427</v>
      </c>
      <c r="H101" s="2221">
        <f>(B101*12/(F101-D101))</f>
        <v>5585.1120385232734</v>
      </c>
    </row>
    <row r="102" spans="1:9" hidden="1"/>
    <row r="103" spans="1:9" hidden="1"/>
    <row r="104" spans="1:9">
      <c r="A104" s="1390" t="s">
        <v>1555</v>
      </c>
      <c r="B104" s="1314"/>
      <c r="C104" s="1315"/>
      <c r="D104" s="1314"/>
      <c r="E104" s="1314"/>
      <c r="F104" s="1391"/>
      <c r="G104" s="1314"/>
    </row>
    <row r="105" spans="1:9" ht="18.75" customHeight="1">
      <c r="A105" s="3018" t="s">
        <v>1238</v>
      </c>
      <c r="B105" s="1319" t="s">
        <v>1239</v>
      </c>
      <c r="C105" s="1320"/>
      <c r="D105" s="1319"/>
      <c r="E105" s="1319"/>
      <c r="F105" s="1319" t="s">
        <v>1240</v>
      </c>
      <c r="G105" s="1319"/>
      <c r="H105" s="3018" t="s">
        <v>336</v>
      </c>
      <c r="I105" s="2223" t="s">
        <v>929</v>
      </c>
    </row>
    <row r="106" spans="1:9" ht="66">
      <c r="A106" s="3019"/>
      <c r="B106" s="1322" t="s">
        <v>338</v>
      </c>
      <c r="C106" s="1323" t="s">
        <v>1241</v>
      </c>
      <c r="D106" s="1322" t="s">
        <v>385</v>
      </c>
      <c r="E106" s="1324" t="s">
        <v>1241</v>
      </c>
      <c r="F106" s="1325" t="s">
        <v>340</v>
      </c>
      <c r="G106" s="1324" t="s">
        <v>1241</v>
      </c>
      <c r="H106" s="3020"/>
    </row>
    <row r="107" spans="1:9" ht="15.6">
      <c r="A107" s="3019"/>
      <c r="B107" s="1326" t="s">
        <v>1242</v>
      </c>
      <c r="C107" s="1327" t="s">
        <v>87</v>
      </c>
      <c r="D107" s="1326" t="s">
        <v>1243</v>
      </c>
      <c r="E107" s="1328" t="s">
        <v>87</v>
      </c>
      <c r="F107" s="1325"/>
      <c r="G107" s="1364"/>
      <c r="H107" s="1404" t="s">
        <v>1270</v>
      </c>
    </row>
    <row r="108" spans="1:9">
      <c r="A108" s="3020"/>
      <c r="B108" s="1325" t="s">
        <v>99</v>
      </c>
      <c r="C108" s="1327"/>
      <c r="D108" s="1325" t="s">
        <v>344</v>
      </c>
      <c r="E108" s="1328"/>
      <c r="F108" s="1325" t="s">
        <v>344</v>
      </c>
      <c r="G108" s="1328" t="s">
        <v>87</v>
      </c>
      <c r="H108" s="1325" t="s">
        <v>1244</v>
      </c>
    </row>
    <row r="109" spans="1:9">
      <c r="A109" s="1331" t="s">
        <v>292</v>
      </c>
      <c r="B109" s="1332">
        <v>446315.56</v>
      </c>
      <c r="C109" s="1330">
        <f>B109/B97-1</f>
        <v>-0.19761406103659118</v>
      </c>
      <c r="D109" s="1332">
        <v>182.68</v>
      </c>
      <c r="E109" s="1330">
        <f>D109/D97-1</f>
        <v>-0.21603295854433091</v>
      </c>
      <c r="F109" s="1332">
        <v>783.69</v>
      </c>
      <c r="G109" s="1330">
        <f>F109/F97-1</f>
        <v>-0.23619192421274227</v>
      </c>
      <c r="H109" s="1333">
        <f>(B109*12/(F109-D109))</f>
        <v>8911.3104940017638</v>
      </c>
    </row>
    <row r="110" spans="1:9">
      <c r="A110" s="1331" t="s">
        <v>276</v>
      </c>
      <c r="B110" s="1332">
        <v>847448.2</v>
      </c>
      <c r="C110" s="1330">
        <f>B110/B98-1</f>
        <v>-0.1659682269289291</v>
      </c>
      <c r="D110" s="1332">
        <v>189.4</v>
      </c>
      <c r="E110" s="1330">
        <f>D110/D98-1</f>
        <v>-0.23987638961351676</v>
      </c>
      <c r="F110" s="1332">
        <v>1348.38</v>
      </c>
      <c r="G110" s="1330">
        <f>F110/F98-1</f>
        <v>-0.21664110429447847</v>
      </c>
      <c r="H110" s="1333">
        <f>(B110*12/(F110-D110))</f>
        <v>8774.4209563581753</v>
      </c>
    </row>
    <row r="111" spans="1:9">
      <c r="A111" s="1331" t="s">
        <v>348</v>
      </c>
      <c r="B111" s="1332">
        <v>1156955</v>
      </c>
      <c r="C111" s="1330">
        <f>B111/B99-1</f>
        <v>-0.1983158128960415</v>
      </c>
      <c r="D111" s="1332">
        <v>482.36</v>
      </c>
      <c r="E111" s="1330">
        <f>D111/D99-1</f>
        <v>-0.19620063322779535</v>
      </c>
      <c r="F111" s="1332">
        <v>2064.62</v>
      </c>
      <c r="G111" s="1330">
        <f>F111/F99-1</f>
        <v>-0.25999017917626943</v>
      </c>
      <c r="H111" s="1333">
        <f>(B111*12/(F111-D111))</f>
        <v>8774.4492055667215</v>
      </c>
    </row>
    <row r="112" spans="1:9">
      <c r="A112" s="1331" t="s">
        <v>280</v>
      </c>
      <c r="B112" s="1332">
        <v>1853656.95</v>
      </c>
      <c r="C112" s="1330">
        <f>B112/B100-1</f>
        <v>-0.29381159360168319</v>
      </c>
      <c r="D112" s="1332">
        <v>519.70000000000005</v>
      </c>
      <c r="E112" s="1330">
        <f>D112/D100-1</f>
        <v>-0.24064874342489762</v>
      </c>
      <c r="F112" s="1332">
        <v>3054.78</v>
      </c>
      <c r="G112" s="1330">
        <f>F112/F100-1</f>
        <v>-0.29333956380527615</v>
      </c>
      <c r="H112" s="1333">
        <f>(B112*12/(F112-D112))</f>
        <v>8774.4305505151715</v>
      </c>
    </row>
    <row r="113" spans="1:8" ht="27">
      <c r="A113" s="1331" t="s">
        <v>449</v>
      </c>
      <c r="B113" s="1332"/>
      <c r="C113" s="1330"/>
      <c r="D113" s="1332"/>
      <c r="E113" s="1330"/>
      <c r="F113" s="1332"/>
      <c r="G113" s="1330"/>
      <c r="H113" s="1333"/>
    </row>
    <row r="115" spans="1:8">
      <c r="A115" s="1390" t="s">
        <v>1556</v>
      </c>
      <c r="B115" s="1314"/>
      <c r="C115" s="1315"/>
      <c r="D115" s="1314"/>
      <c r="E115" s="1314"/>
      <c r="F115" s="1391"/>
      <c r="G115" s="1314"/>
    </row>
    <row r="116" spans="1:8" ht="18.75" customHeight="1">
      <c r="A116" s="3018" t="s">
        <v>1238</v>
      </c>
      <c r="B116" s="1319" t="s">
        <v>1239</v>
      </c>
      <c r="C116" s="1320"/>
      <c r="D116" s="1319"/>
      <c r="E116" s="1319"/>
      <c r="F116" s="1319" t="s">
        <v>1240</v>
      </c>
      <c r="G116" s="1319"/>
      <c r="H116" s="3018" t="s">
        <v>336</v>
      </c>
    </row>
    <row r="117" spans="1:8" ht="66">
      <c r="A117" s="3019"/>
      <c r="B117" s="1322" t="s">
        <v>338</v>
      </c>
      <c r="C117" s="1323" t="s">
        <v>1241</v>
      </c>
      <c r="D117" s="1322" t="s">
        <v>385</v>
      </c>
      <c r="E117" s="1324" t="s">
        <v>1241</v>
      </c>
      <c r="F117" s="1325" t="s">
        <v>340</v>
      </c>
      <c r="G117" s="1324" t="s">
        <v>1241</v>
      </c>
      <c r="H117" s="3020"/>
    </row>
    <row r="118" spans="1:8" ht="15.6">
      <c r="A118" s="3019"/>
      <c r="B118" s="1326" t="s">
        <v>1242</v>
      </c>
      <c r="C118" s="1327" t="s">
        <v>87</v>
      </c>
      <c r="D118" s="1326" t="s">
        <v>1243</v>
      </c>
      <c r="E118" s="1328" t="s">
        <v>87</v>
      </c>
      <c r="F118" s="1325"/>
      <c r="G118" s="1364"/>
      <c r="H118" s="1404" t="s">
        <v>1270</v>
      </c>
    </row>
    <row r="119" spans="1:8">
      <c r="A119" s="3020"/>
      <c r="B119" s="1325" t="s">
        <v>99</v>
      </c>
      <c r="C119" s="1327"/>
      <c r="D119" s="1325" t="s">
        <v>344</v>
      </c>
      <c r="E119" s="1328"/>
      <c r="F119" s="1325" t="s">
        <v>344</v>
      </c>
      <c r="G119" s="1328" t="s">
        <v>87</v>
      </c>
      <c r="H119" s="1325" t="s">
        <v>1244</v>
      </c>
    </row>
    <row r="120" spans="1:8">
      <c r="A120" s="1331" t="s">
        <v>292</v>
      </c>
      <c r="B120" s="1332">
        <v>696788.79</v>
      </c>
      <c r="C120" s="1330">
        <f>B120/B109-1</f>
        <v>0.56120210104258983</v>
      </c>
      <c r="D120" s="1332">
        <v>93.89</v>
      </c>
      <c r="E120" s="1330">
        <f>D120/D109-1</f>
        <v>-0.48604116487847604</v>
      </c>
      <c r="F120" s="1332">
        <v>1048.4000000000001</v>
      </c>
      <c r="G120" s="1330">
        <f t="shared" ref="G120:G123" si="0">F120/F109-1</f>
        <v>0.33777386466587567</v>
      </c>
      <c r="H120" s="1333">
        <f>(B120*12/(F120-D120))</f>
        <v>8759.9558726466985</v>
      </c>
    </row>
    <row r="121" spans="1:8">
      <c r="A121" s="1331" t="s">
        <v>276</v>
      </c>
      <c r="B121" s="1332">
        <v>1170896.3600000001</v>
      </c>
      <c r="C121" s="1330">
        <f t="shared" ref="C121:C123" si="1">B121/B110-1</f>
        <v>0.3816730745312813</v>
      </c>
      <c r="D121" s="1332">
        <v>198.82</v>
      </c>
      <c r="E121" s="1330">
        <f t="shared" ref="E121:E123" si="2">D121/D110-1</f>
        <v>4.9736008447729629E-2</v>
      </c>
      <c r="F121" s="1332">
        <v>1802.78</v>
      </c>
      <c r="G121" s="1330">
        <f t="shared" si="0"/>
        <v>0.33699698897936781</v>
      </c>
      <c r="H121" s="1333">
        <f>(B121*12/(F121-D121))</f>
        <v>8760.0415970473077</v>
      </c>
    </row>
    <row r="122" spans="1:8">
      <c r="A122" s="1331" t="s">
        <v>348</v>
      </c>
      <c r="B122" s="1332">
        <v>1821035.14</v>
      </c>
      <c r="C122" s="1330">
        <f t="shared" si="1"/>
        <v>0.57398960201563587</v>
      </c>
      <c r="D122" s="1332">
        <v>261.7</v>
      </c>
      <c r="E122" s="1330">
        <f t="shared" si="2"/>
        <v>-0.45745915913425661</v>
      </c>
      <c r="F122" s="1332">
        <v>2756.27</v>
      </c>
      <c r="G122" s="1330">
        <f t="shared" si="0"/>
        <v>0.33500111400645172</v>
      </c>
      <c r="H122" s="1333">
        <f>(B122*12/(F122-D122))</f>
        <v>8759.9953819696366</v>
      </c>
    </row>
    <row r="123" spans="1:8">
      <c r="A123" s="1331" t="s">
        <v>280</v>
      </c>
      <c r="B123" s="1332">
        <v>2450996.14</v>
      </c>
      <c r="C123" s="1330">
        <f t="shared" si="1"/>
        <v>0.32224904937237731</v>
      </c>
      <c r="D123" s="1332">
        <v>714.49</v>
      </c>
      <c r="E123" s="1330">
        <f t="shared" si="2"/>
        <v>0.37481239176447945</v>
      </c>
      <c r="F123" s="1332">
        <v>4072.02</v>
      </c>
      <c r="G123" s="1330">
        <f t="shared" si="0"/>
        <v>0.33299943040087987</v>
      </c>
      <c r="H123" s="1333">
        <f>(B123*12/(F123-D123))</f>
        <v>8759.9972837174955</v>
      </c>
    </row>
    <row r="124" spans="1:8" ht="27">
      <c r="A124" s="1331" t="s">
        <v>449</v>
      </c>
      <c r="B124" s="1332"/>
      <c r="C124" s="1330"/>
      <c r="D124" s="1332"/>
      <c r="E124" s="1330"/>
      <c r="F124" s="1332"/>
      <c r="G124" s="1330"/>
      <c r="H124" s="1333"/>
    </row>
  </sheetData>
  <mergeCells count="24">
    <mergeCell ref="A38:A41"/>
    <mergeCell ref="H38:H39"/>
    <mergeCell ref="A49:A52"/>
    <mergeCell ref="H49:H50"/>
    <mergeCell ref="A60:A63"/>
    <mergeCell ref="H60:H61"/>
    <mergeCell ref="A5:A8"/>
    <mergeCell ref="H5:H6"/>
    <mergeCell ref="A16:A19"/>
    <mergeCell ref="H16:H17"/>
    <mergeCell ref="A27:A30"/>
    <mergeCell ref="H27:H28"/>
    <mergeCell ref="A116:A119"/>
    <mergeCell ref="H116:H117"/>
    <mergeCell ref="I60:I61"/>
    <mergeCell ref="A71:A74"/>
    <mergeCell ref="H71:H72"/>
    <mergeCell ref="A82:A85"/>
    <mergeCell ref="H82:H83"/>
    <mergeCell ref="I82:I83"/>
    <mergeCell ref="A93:A96"/>
    <mergeCell ref="H93:H94"/>
    <mergeCell ref="A105:A108"/>
    <mergeCell ref="H105:H10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&amp;R&amp;8&amp;P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5">
    <tabColor rgb="FFFFC000"/>
  </sheetPr>
  <dimension ref="A1:S69"/>
  <sheetViews>
    <sheetView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11.5546875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1255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1365" t="s">
        <v>1258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1301</v>
      </c>
      <c r="J16" s="255"/>
      <c r="K16" s="256"/>
      <c r="L16" s="649" t="s">
        <v>1266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27.6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>
        <v>2744.8</v>
      </c>
      <c r="J19" s="1496">
        <f>E42*E43/1000</f>
        <v>2216.7543228830214</v>
      </c>
      <c r="K19" s="286">
        <f>ROUND((I19+J19),1)</f>
        <v>4961.6000000000004</v>
      </c>
      <c r="L19" s="1386" t="s">
        <v>1302</v>
      </c>
      <c r="M19" s="1387"/>
      <c r="N19" s="289">
        <f>N23-N31+N36</f>
        <v>5002.0370641783866</v>
      </c>
      <c r="O19" s="276">
        <f>$E$42*$E$43/1000</f>
        <v>2216.7543228830214</v>
      </c>
      <c r="Q19" s="1294">
        <f>N23+K36-N32-K35</f>
        <v>15947.5353648</v>
      </c>
      <c r="R19" s="1296"/>
      <c r="S19" s="1297"/>
    </row>
    <row r="20" spans="1:19" ht="43.5" customHeight="1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I23+I36-I31</f>
        <v>3764.1667443999995</v>
      </c>
      <c r="J20" s="294">
        <f>ROUND((J23+J36-J31),1)</f>
        <v>2944.4</v>
      </c>
      <c r="K20" s="286">
        <f>ROUND((I20+J20),1)</f>
        <v>6708.6</v>
      </c>
      <c r="L20" s="1386" t="s">
        <v>1268</v>
      </c>
      <c r="M20" s="1387"/>
      <c r="N20" s="1435">
        <f>N23-K31+N36</f>
        <v>5009.7353955999988</v>
      </c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>
        <f>K19-K20</f>
        <v>-1747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11373.244758000001</v>
      </c>
      <c r="J23" s="321">
        <f>SUM(J25:J29)</f>
        <v>2756.1878400000005</v>
      </c>
      <c r="K23" s="322">
        <f>I23+J23</f>
        <v>14129.432598000001</v>
      </c>
      <c r="L23" s="295"/>
      <c r="M23" s="211"/>
      <c r="N23" s="322">
        <f>SUM(N25:N29)</f>
        <v>12425.6</v>
      </c>
      <c r="O23" s="609">
        <f>N23-K23</f>
        <v>-1703.8325980000009</v>
      </c>
      <c r="P23" s="623">
        <f>N19-K20</f>
        <v>-1706.5629358216138</v>
      </c>
    </row>
    <row r="24" spans="1:19" ht="27.75" customHeight="1">
      <c r="A24" s="282"/>
      <c r="B24" s="280" t="s">
        <v>414</v>
      </c>
      <c r="C24" s="605" t="s">
        <v>715</v>
      </c>
      <c r="D24" s="1417">
        <f>SUM(D25:D29)</f>
        <v>1.3699999999999999</v>
      </c>
      <c r="E24" s="1283">
        <f>SUM(E25:E29)</f>
        <v>9367.7000000000007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7140.3508771929828</v>
      </c>
      <c r="D25" s="1417">
        <v>0.56999999999999995</v>
      </c>
      <c r="E25" s="1283">
        <f>2033.37+2036.63</f>
        <v>4070</v>
      </c>
      <c r="F25" s="325">
        <v>364484.63</v>
      </c>
      <c r="G25" s="326">
        <v>151.36000000000001</v>
      </c>
      <c r="H25" s="327">
        <v>671</v>
      </c>
      <c r="I25" s="556">
        <f>D25*F25*12/1000</f>
        <v>2493.0748691999997</v>
      </c>
      <c r="J25" s="556">
        <f>E25*G25/1000</f>
        <v>616.03520000000003</v>
      </c>
      <c r="K25" s="557">
        <f>I25+J25</f>
        <v>3109.1100692</v>
      </c>
      <c r="L25" s="1286"/>
      <c r="M25" s="556"/>
      <c r="N25" s="557">
        <f>ROUND((E25*H25/1000),1)</f>
        <v>2731</v>
      </c>
      <c r="O25" s="1375">
        <f>'2012г.об.под факт2010'!N23-'2012'!N23</f>
        <v>3125.1999999999989</v>
      </c>
    </row>
    <row r="26" spans="1:19">
      <c r="A26" s="290"/>
      <c r="B26" s="324" t="s">
        <v>415</v>
      </c>
      <c r="C26" s="1299">
        <f>E26/D26</f>
        <v>6689.333333333333</v>
      </c>
      <c r="D26" s="1417">
        <v>0.75</v>
      </c>
      <c r="E26" s="1283">
        <f>2506.49+2510.51</f>
        <v>5017</v>
      </c>
      <c r="F26" s="325">
        <v>942948.34</v>
      </c>
      <c r="G26" s="326">
        <v>414.16</v>
      </c>
      <c r="H26" s="327">
        <v>1847.1</v>
      </c>
      <c r="I26" s="556">
        <f>D26*F26*12/1000</f>
        <v>8486.5350600000002</v>
      </c>
      <c r="J26" s="556">
        <f>E26*G26/1000</f>
        <v>2077.8407200000001</v>
      </c>
      <c r="K26" s="557">
        <f>I26+J26</f>
        <v>10564.37578</v>
      </c>
      <c r="L26" s="1286"/>
      <c r="M26" s="556"/>
      <c r="N26" s="557">
        <f>ROUND((E26*H26/1000),1)</f>
        <v>9266.9</v>
      </c>
      <c r="O26" s="1376" t="s">
        <v>1257</v>
      </c>
    </row>
    <row r="27" spans="1:19" ht="26.4">
      <c r="A27" s="290"/>
      <c r="B27" s="328" t="s">
        <v>1226</v>
      </c>
      <c r="C27" s="1299">
        <f>E27/D27</f>
        <v>6600</v>
      </c>
      <c r="D27" s="1417">
        <v>0.02</v>
      </c>
      <c r="E27" s="1283">
        <f>65.4+66.6</f>
        <v>132</v>
      </c>
      <c r="F27" s="325">
        <v>1640145.12</v>
      </c>
      <c r="G27" s="326">
        <v>472.06</v>
      </c>
      <c r="H27" s="327">
        <v>2747.68</v>
      </c>
      <c r="I27" s="556">
        <f>D27*F27*12/1000</f>
        <v>393.63482880000009</v>
      </c>
      <c r="J27" s="556">
        <f>E27*G27/1000</f>
        <v>62.311920000000001</v>
      </c>
      <c r="K27" s="557">
        <f>I27+J27</f>
        <v>455.94674880000008</v>
      </c>
      <c r="L27" s="1286"/>
      <c r="M27" s="556"/>
      <c r="N27" s="557">
        <f>ROUND((E27*H27/1000),1)</f>
        <v>362.7</v>
      </c>
      <c r="Q27" s="1461" t="s">
        <v>1284</v>
      </c>
      <c r="R27" s="1461" t="s">
        <v>249</v>
      </c>
      <c r="S27" s="1461" t="s">
        <v>372</v>
      </c>
    </row>
    <row r="28" spans="1:19" s="391" customFormat="1" ht="28.2">
      <c r="A28" s="290"/>
      <c r="B28" s="328" t="s">
        <v>1225</v>
      </c>
      <c r="C28" s="1299" t="e">
        <f>E28/D28</f>
        <v>#DIV/0!</v>
      </c>
      <c r="D28" s="1491">
        <v>0</v>
      </c>
      <c r="E28" s="1283">
        <f>7.75+8.95</f>
        <v>16.7</v>
      </c>
      <c r="F28" s="325"/>
      <c r="G28" s="326"/>
      <c r="H28" s="327">
        <v>437.28</v>
      </c>
      <c r="I28" s="556">
        <f>D28*F28*12/1000</f>
        <v>0</v>
      </c>
      <c r="J28" s="556">
        <f>E28*G28/1000</f>
        <v>0</v>
      </c>
      <c r="K28" s="557">
        <f>E28*H28/1000</f>
        <v>7.3025759999999993</v>
      </c>
      <c r="L28" s="1286"/>
      <c r="M28" s="556"/>
      <c r="N28" s="557">
        <f>ROUND((E28*H28/1000),1)</f>
        <v>7.3</v>
      </c>
      <c r="Q28" s="1462">
        <v>2006.8</v>
      </c>
      <c r="R28" s="1462">
        <v>2623.4</v>
      </c>
      <c r="S28" s="1462">
        <f>SUM(Q28:R28)</f>
        <v>4630.2</v>
      </c>
    </row>
    <row r="29" spans="1:19" s="391" customFormat="1" ht="28.8" thickBot="1">
      <c r="A29" s="401"/>
      <c r="B29" s="328" t="s">
        <v>416</v>
      </c>
      <c r="C29" s="627">
        <f>E29/D29</f>
        <v>4400</v>
      </c>
      <c r="D29" s="1490">
        <v>0.03</v>
      </c>
      <c r="E29" s="330">
        <f>61.29+70.71</f>
        <v>132</v>
      </c>
      <c r="F29" s="405"/>
      <c r="G29" s="406"/>
      <c r="H29" s="407">
        <f>H28</f>
        <v>437.28</v>
      </c>
      <c r="I29" s="331"/>
      <c r="J29" s="332"/>
      <c r="K29" s="333">
        <f>H29*E29/1000</f>
        <v>57.720959999999998</v>
      </c>
      <c r="L29" s="331"/>
      <c r="M29" s="1287"/>
      <c r="N29" s="333">
        <f>ROUND((E29*H29/1000),1)</f>
        <v>57.7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1492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1493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SUM(I32:I35)</f>
        <v>10236.2379404</v>
      </c>
      <c r="J31" s="556">
        <f>SUM(J32:J35)</f>
        <v>1118.5294308</v>
      </c>
      <c r="K31" s="1298">
        <f>SUM(K32:K35)</f>
        <v>11354.767371200001</v>
      </c>
      <c r="L31" s="615">
        <f>SUM(L35:L35)</f>
        <v>0</v>
      </c>
      <c r="M31" s="465">
        <f>SUM(M35:M35)</f>
        <v>0</v>
      </c>
      <c r="N31" s="628">
        <f>SUM(N32:N35)</f>
        <v>11362.465702621614</v>
      </c>
    </row>
    <row r="32" spans="1:19" ht="22.5" customHeight="1">
      <c r="A32" s="339">
        <v>1</v>
      </c>
      <c r="B32" s="280" t="s">
        <v>1273</v>
      </c>
      <c r="C32" s="626">
        <f>E32/D32</f>
        <v>7593.7142857142844</v>
      </c>
      <c r="D32" s="1417">
        <v>7.0000000000000007E-2</v>
      </c>
      <c r="E32" s="1283">
        <v>531.55999999999995</v>
      </c>
      <c r="F32" s="1416">
        <v>397902.31</v>
      </c>
      <c r="G32" s="1417">
        <v>93.93</v>
      </c>
      <c r="H32" s="1419">
        <f>K32/E32*1000+35.93</f>
        <v>758.64685454135008</v>
      </c>
      <c r="I32" s="295">
        <f>$D32*$F32*12/1000</f>
        <v>334.23794040000007</v>
      </c>
      <c r="J32" s="211">
        <f>$E32*$G32/1000</f>
        <v>49.929430799999999</v>
      </c>
      <c r="K32" s="296">
        <f>I32+J32</f>
        <v>384.16737120000005</v>
      </c>
      <c r="L32" s="465"/>
      <c r="M32" s="465"/>
      <c r="N32" s="603">
        <f>E32*H32/1000</f>
        <v>403.266322</v>
      </c>
    </row>
    <row r="33" spans="1:15" ht="22.5" customHeight="1">
      <c r="A33" s="1381">
        <v>2</v>
      </c>
      <c r="B33" s="1382" t="s">
        <v>1276</v>
      </c>
      <c r="C33" s="1383">
        <f>E33/D33</f>
        <v>6602.9999999999991</v>
      </c>
      <c r="D33" s="1417">
        <v>7.0000000000000007E-2</v>
      </c>
      <c r="E33" s="1283">
        <v>462.21</v>
      </c>
      <c r="F33" s="1416">
        <v>139799.97</v>
      </c>
      <c r="G33" s="1417">
        <v>95.89</v>
      </c>
      <c r="H33" s="1419">
        <f>K33/E33*1000-18.03</f>
        <v>331.81098137210358</v>
      </c>
      <c r="I33" s="556">
        <f>ROUND(($D$33*$F$33*12/1000),1)</f>
        <v>117.4</v>
      </c>
      <c r="J33" s="556">
        <f>ROUND(($E$33*$G$33/1000),1)</f>
        <v>44.3</v>
      </c>
      <c r="K33" s="557">
        <f>I33+J33</f>
        <v>161.69999999999999</v>
      </c>
      <c r="L33" s="465"/>
      <c r="M33" s="465"/>
      <c r="N33" s="603">
        <f>E33*H33/1000</f>
        <v>153.36635369999999</v>
      </c>
    </row>
    <row r="34" spans="1:15" ht="22.5" customHeight="1">
      <c r="A34" s="1420">
        <v>3</v>
      </c>
      <c r="B34" s="363" t="s">
        <v>1277</v>
      </c>
      <c r="C34" s="1383">
        <f>E34/D34</f>
        <v>7634.3020868457552</v>
      </c>
      <c r="D34" s="1494">
        <f>D24+D32+D35+D38+D39+G42-D33+0.01</f>
        <v>2.87</v>
      </c>
      <c r="E34" s="1485">
        <f>$E$24+$E$38+$E$39+$E$32+$E$35+$E$42-$E$33</f>
        <v>21910.446989247317</v>
      </c>
      <c r="F34" s="1416">
        <v>283891.76</v>
      </c>
      <c r="G34" s="1417">
        <v>46.69</v>
      </c>
      <c r="H34" s="1419">
        <f>K34/E34*1000-0.15</f>
        <v>492.77467676721807</v>
      </c>
      <c r="I34" s="556">
        <f>ROUND(($D$34*$F$34*12/1000),1)</f>
        <v>9777.2000000000007</v>
      </c>
      <c r="J34" s="556">
        <f>ROUND(($E$34*$G$34/1000),1)</f>
        <v>1023</v>
      </c>
      <c r="K34" s="557">
        <f>I34+J34</f>
        <v>10800.2</v>
      </c>
      <c r="L34" s="465"/>
      <c r="M34" s="465"/>
      <c r="N34" s="603">
        <f>E34*H34/1000</f>
        <v>10796.913432951613</v>
      </c>
    </row>
    <row r="35" spans="1:15" ht="22.5" customHeight="1" thickBot="1">
      <c r="A35" s="339">
        <v>4</v>
      </c>
      <c r="B35" s="280" t="s">
        <v>1274</v>
      </c>
      <c r="C35" s="626">
        <f>E35/D35</f>
        <v>9036.7888888888901</v>
      </c>
      <c r="D35" s="1417">
        <v>0.09</v>
      </c>
      <c r="E35" s="1282">
        <v>813.31100000000004</v>
      </c>
      <c r="F35" s="1416">
        <v>6820.2</v>
      </c>
      <c r="G35" s="1417">
        <v>1.61</v>
      </c>
      <c r="H35" s="1419">
        <f>K35/E35*1000+0.27</f>
        <v>10.967015040986782</v>
      </c>
      <c r="I35" s="556">
        <f>ROUND(($D$35*$F$35*12/1000),1)</f>
        <v>7.4</v>
      </c>
      <c r="J35" s="556">
        <f>ROUND(($E$35*$G$35/1000),1)</f>
        <v>1.3</v>
      </c>
      <c r="K35" s="557">
        <f>I35+J35</f>
        <v>8.7000000000000011</v>
      </c>
      <c r="L35" s="465"/>
      <c r="M35" s="465"/>
      <c r="N35" s="603">
        <f>E35*H35/1000</f>
        <v>8.9195939700000011</v>
      </c>
    </row>
    <row r="36" spans="1:15" ht="46.8">
      <c r="A36" s="1421" t="s">
        <v>422</v>
      </c>
      <c r="B36" s="1422" t="s">
        <v>1230</v>
      </c>
      <c r="C36" s="1423"/>
      <c r="D36" s="1488"/>
      <c r="E36" s="1425"/>
      <c r="F36" s="1426" t="s">
        <v>420</v>
      </c>
      <c r="G36" s="1427" t="s">
        <v>90</v>
      </c>
      <c r="H36" s="1428" t="s">
        <v>90</v>
      </c>
      <c r="I36" s="1429">
        <f>SUM(I37:I39)</f>
        <v>2627.1599268</v>
      </c>
      <c r="J36" s="1430">
        <f>SUM(J37:J39)</f>
        <v>1306.7417600000001</v>
      </c>
      <c r="K36" s="1431">
        <f>SUM(K37:K39)</f>
        <v>3933.9016868000003</v>
      </c>
      <c r="L36" s="1432">
        <f>SUM(L38:L39)</f>
        <v>0</v>
      </c>
      <c r="M36" s="1433">
        <f>SUM(M38:M39)</f>
        <v>0</v>
      </c>
      <c r="N36" s="1431">
        <f>SUM(N37:N39)</f>
        <v>3938.9027667999999</v>
      </c>
    </row>
    <row r="37" spans="1:15" hidden="1">
      <c r="A37" s="339">
        <v>1</v>
      </c>
      <c r="B37" s="280" t="s">
        <v>1263</v>
      </c>
      <c r="C37" s="626">
        <f>E37/D37</f>
        <v>7660.9954507857756</v>
      </c>
      <c r="D37" s="1484">
        <f>$D$24+$D$38+$D$39+$D$32+$D$35+$G$42-$D$33</f>
        <v>2.86</v>
      </c>
      <c r="E37" s="1304">
        <f>$E$24+$E$38+$E$39+$E$32+$E$35+$E$42-$E$33</f>
        <v>21910.446989247317</v>
      </c>
      <c r="F37" s="616"/>
      <c r="G37" s="617"/>
      <c r="H37" s="1434">
        <f>K37/E37*1000</f>
        <v>0</v>
      </c>
      <c r="I37" s="1406">
        <f>$D$37*$F$37*12/1000</f>
        <v>0</v>
      </c>
      <c r="J37" s="1407">
        <f>$E$37*$G$37/1000</f>
        <v>0</v>
      </c>
      <c r="K37" s="1408">
        <f>I37+J37</f>
        <v>0</v>
      </c>
      <c r="L37" s="1409"/>
      <c r="M37" s="1407"/>
      <c r="N37" s="1408">
        <f>E37*H37/1000</f>
        <v>0</v>
      </c>
    </row>
    <row r="38" spans="1:15" ht="16.2">
      <c r="A38" s="339">
        <v>1</v>
      </c>
      <c r="B38" s="280" t="s">
        <v>1275</v>
      </c>
      <c r="C38" s="626">
        <f>E38/D38</f>
        <v>8642.2018348623842</v>
      </c>
      <c r="D38" s="1417">
        <f>'[15]П1.30 -01.11.11г.'!$D$22</f>
        <v>1.0900000000000001</v>
      </c>
      <c r="E38" s="606">
        <f>'[15]П1.30 -01.11.11г.'!$C$22</f>
        <v>9420</v>
      </c>
      <c r="F38" s="325">
        <v>181738.41</v>
      </c>
      <c r="G38" s="326">
        <v>125.28</v>
      </c>
      <c r="H38" s="1415">
        <f>K38/E38*1000</f>
        <v>377.63014891719746</v>
      </c>
      <c r="I38" s="1406">
        <f>$D38*$F38*12/1000</f>
        <v>2377.1384028000002</v>
      </c>
      <c r="J38" s="1407">
        <f>$E38*$G38/1000</f>
        <v>1180.1376</v>
      </c>
      <c r="K38" s="1408">
        <f>I38+J38</f>
        <v>3557.2760028000002</v>
      </c>
      <c r="L38" s="1409"/>
      <c r="M38" s="1407"/>
      <c r="N38" s="1408">
        <f>E38*H38/1000</f>
        <v>3557.2760027999998</v>
      </c>
    </row>
    <row r="39" spans="1:15" ht="32.25" customHeight="1" thickBot="1">
      <c r="A39" s="340">
        <v>2</v>
      </c>
      <c r="B39" s="1385" t="s">
        <v>1272</v>
      </c>
      <c r="C39" s="627">
        <f>E39/D39</f>
        <v>6740</v>
      </c>
      <c r="D39" s="1490">
        <v>0.1</v>
      </c>
      <c r="E39" s="607">
        <v>674</v>
      </c>
      <c r="F39" s="405">
        <v>208351.27</v>
      </c>
      <c r="G39" s="406">
        <v>187.84</v>
      </c>
      <c r="H39" s="1486">
        <f>K39/E39*1000+7.42</f>
        <v>566.21181602373883</v>
      </c>
      <c r="I39" s="1410">
        <f>$D$39*$F$39*12/1000</f>
        <v>250.021524</v>
      </c>
      <c r="J39" s="1411">
        <f>$E$39*$G$39/1000</f>
        <v>126.60416000000001</v>
      </c>
      <c r="K39" s="1412">
        <f>I39+J39</f>
        <v>376.62568399999998</v>
      </c>
      <c r="L39" s="624"/>
      <c r="M39" s="625"/>
      <c r="N39" s="1413">
        <f>E39*H39/1000</f>
        <v>381.62676399999998</v>
      </c>
    </row>
    <row r="40" spans="1:15" hidden="1">
      <c r="F40" s="94"/>
      <c r="G40" s="94"/>
      <c r="H40" s="94"/>
      <c r="L40" s="17"/>
      <c r="M40" s="17"/>
      <c r="N40" s="17"/>
    </row>
    <row r="41" spans="1:15">
      <c r="B41" s="52" t="s">
        <v>352</v>
      </c>
      <c r="C41" s="52"/>
      <c r="L41" s="17"/>
      <c r="M41" s="17"/>
      <c r="N41" s="17"/>
    </row>
    <row r="42" spans="1:15">
      <c r="D42" s="52" t="s">
        <v>1234</v>
      </c>
      <c r="E42" s="867">
        <f>(E24+E32+E35+E38+E39)/(1-7/100)*7/100</f>
        <v>1566.085989247312</v>
      </c>
      <c r="F42" s="17" t="s">
        <v>423</v>
      </c>
      <c r="G42" s="17">
        <v>0.21</v>
      </c>
      <c r="H42" s="1483">
        <f>E42/(E34+E33)</f>
        <v>6.9999999999999993E-2</v>
      </c>
      <c r="L42" s="17"/>
      <c r="M42" s="17"/>
      <c r="N42" s="17"/>
    </row>
    <row r="43" spans="1:15">
      <c r="D43" s="52" t="s">
        <v>424</v>
      </c>
      <c r="E43" s="1482">
        <f>2216.76/1566.09*1000</f>
        <v>1415.4742064632301</v>
      </c>
      <c r="F43" s="17" t="s">
        <v>425</v>
      </c>
      <c r="L43" s="17"/>
      <c r="M43" s="17"/>
      <c r="N43" s="17"/>
    </row>
    <row r="44" spans="1:15" hidden="1"/>
    <row r="45" spans="1:15" hidden="1">
      <c r="E45" s="17" t="s">
        <v>425</v>
      </c>
      <c r="G45" s="410" t="s">
        <v>722</v>
      </c>
      <c r="H45" s="410"/>
      <c r="I45" s="410"/>
      <c r="J45" s="410"/>
      <c r="K45" s="410"/>
    </row>
    <row r="46" spans="1:15" hidden="1">
      <c r="E46" s="417"/>
      <c r="F46" s="416"/>
      <c r="G46" s="411" t="s">
        <v>419</v>
      </c>
      <c r="H46" s="411"/>
      <c r="I46" s="411"/>
      <c r="J46" s="415" t="s">
        <v>606</v>
      </c>
      <c r="K46" s="415"/>
      <c r="L46" s="17"/>
      <c r="M46" s="17"/>
      <c r="N46" s="17"/>
      <c r="O46" s="342"/>
    </row>
    <row r="47" spans="1:15" ht="27" hidden="1">
      <c r="E47" s="417"/>
      <c r="F47" s="416"/>
      <c r="G47" s="412" t="s">
        <v>420</v>
      </c>
      <c r="H47" s="412" t="s">
        <v>90</v>
      </c>
      <c r="I47" s="413" t="s">
        <v>605</v>
      </c>
      <c r="J47" s="410"/>
      <c r="K47" s="410"/>
      <c r="L47" s="17"/>
      <c r="M47" s="17"/>
      <c r="N47" s="17"/>
      <c r="O47" s="343"/>
    </row>
    <row r="48" spans="1:15" hidden="1">
      <c r="E48" s="417"/>
      <c r="F48" s="416"/>
      <c r="G48" s="148"/>
      <c r="H48" s="148"/>
      <c r="I48" s="148"/>
      <c r="J48" s="410"/>
      <c r="K48" s="410"/>
      <c r="L48" s="17"/>
      <c r="M48" s="17"/>
      <c r="N48" s="17"/>
      <c r="O48" s="342"/>
    </row>
    <row r="49" spans="2:14" hidden="1">
      <c r="E49" s="417"/>
      <c r="F49" s="416" t="s">
        <v>723</v>
      </c>
      <c r="G49" s="148"/>
      <c r="H49" s="148"/>
      <c r="I49" s="148"/>
      <c r="J49" s="410"/>
      <c r="K49" s="410"/>
    </row>
    <row r="50" spans="2:14" hidden="1">
      <c r="E50" s="417"/>
      <c r="F50" s="416" t="s">
        <v>421</v>
      </c>
      <c r="G50" s="414"/>
      <c r="H50" s="414"/>
      <c r="I50" s="414"/>
      <c r="J50" s="410"/>
      <c r="K50" s="414"/>
    </row>
    <row r="51" spans="2:14" hidden="1">
      <c r="E51" s="417"/>
      <c r="F51" s="416" t="s">
        <v>447</v>
      </c>
      <c r="G51" s="414"/>
      <c r="H51" s="414"/>
      <c r="I51" s="414"/>
      <c r="J51" s="410"/>
      <c r="K51" s="414"/>
    </row>
    <row r="52" spans="2:14" hidden="1">
      <c r="E52" s="417"/>
      <c r="F52" s="416" t="s">
        <v>720</v>
      </c>
      <c r="G52" s="414"/>
      <c r="H52" s="414"/>
      <c r="I52" s="414"/>
      <c r="J52" s="410"/>
      <c r="K52" s="414"/>
    </row>
    <row r="53" spans="2:14" hidden="1">
      <c r="E53" s="417"/>
      <c r="F53" s="416" t="s">
        <v>248</v>
      </c>
      <c r="G53" s="414"/>
      <c r="H53" s="414"/>
      <c r="I53" s="414"/>
      <c r="J53" s="410"/>
      <c r="K53" s="414"/>
    </row>
    <row r="54" spans="2:14" hidden="1"/>
    <row r="55" spans="2:14" hidden="1"/>
    <row r="56" spans="2:14" hidden="1">
      <c r="K56" s="94"/>
      <c r="L56" s="17"/>
      <c r="M56" s="17"/>
      <c r="N56" s="17"/>
    </row>
    <row r="57" spans="2:14" hidden="1"/>
    <row r="58" spans="2:14" hidden="1"/>
    <row r="59" spans="2:14" ht="12.75" customHeight="1">
      <c r="B59" s="6" t="s">
        <v>1267</v>
      </c>
      <c r="C59" s="6"/>
      <c r="D59" s="6"/>
      <c r="E59" s="6"/>
      <c r="F59" s="6"/>
      <c r="G59" s="123"/>
      <c r="H59" s="124"/>
    </row>
    <row r="60" spans="2:14">
      <c r="B60" s="3025" t="s">
        <v>337</v>
      </c>
      <c r="C60" s="8"/>
      <c r="D60" s="8"/>
      <c r="E60" s="3038" t="s">
        <v>338</v>
      </c>
      <c r="F60" s="23" t="s">
        <v>339</v>
      </c>
      <c r="G60" s="3025" t="s">
        <v>340</v>
      </c>
      <c r="H60" s="6"/>
    </row>
    <row r="61" spans="2:14" ht="66.599999999999994">
      <c r="B61" s="3037"/>
      <c r="C61" s="15"/>
      <c r="D61" s="15"/>
      <c r="E61" s="3039"/>
      <c r="F61" s="23" t="s">
        <v>341</v>
      </c>
      <c r="G61" s="3026"/>
      <c r="H61" s="6"/>
    </row>
    <row r="62" spans="2:14" ht="16.8">
      <c r="B62" s="3037"/>
      <c r="C62" s="15"/>
      <c r="D62" s="15"/>
      <c r="E62" s="98" t="s">
        <v>342</v>
      </c>
      <c r="F62" s="98" t="s">
        <v>343</v>
      </c>
      <c r="G62" s="13"/>
      <c r="H62" s="124" t="s">
        <v>336</v>
      </c>
    </row>
    <row r="63" spans="2:14" ht="15.75" customHeight="1">
      <c r="B63" s="3026"/>
      <c r="C63" s="10"/>
      <c r="D63" s="10"/>
      <c r="E63" s="13" t="s">
        <v>99</v>
      </c>
      <c r="F63" s="13" t="s">
        <v>344</v>
      </c>
      <c r="G63" s="13" t="s">
        <v>344</v>
      </c>
      <c r="H63" s="123"/>
    </row>
    <row r="64" spans="2:14">
      <c r="B64" s="13" t="s">
        <v>292</v>
      </c>
      <c r="C64" s="583"/>
      <c r="D64" s="583"/>
      <c r="E64" s="224">
        <f>'1 И 2 ПОЛУГОДИЕ 2012'!B53</f>
        <v>364484.63</v>
      </c>
      <c r="F64" s="224">
        <f>'1 И 2 ПОЛУГОДИЕ 2012'!D53</f>
        <v>151.36000000000001</v>
      </c>
      <c r="G64" s="224">
        <f>'1 И 2 ПОЛУГОДИЕ 2012'!F53</f>
        <v>671</v>
      </c>
      <c r="H64" s="585">
        <f>(E64*12/(G64-F64))</f>
        <v>8417.0109306442937</v>
      </c>
    </row>
    <row r="65" spans="2:8">
      <c r="B65" s="13" t="s">
        <v>276</v>
      </c>
      <c r="C65" s="13"/>
      <c r="D65" s="1308"/>
      <c r="E65" s="224">
        <f>'1 И 2 ПОЛУГОДИЕ 2012'!B54</f>
        <v>684381.17</v>
      </c>
      <c r="F65" s="224">
        <f>'1 И 2 ПОЛУГОДИЕ 2012'!D54</f>
        <v>162.12</v>
      </c>
      <c r="G65" s="224">
        <f>'1 И 2 ПОЛУГОДИЕ 2012'!F54</f>
        <v>1153.6500000000001</v>
      </c>
      <c r="H65" s="123">
        <f>(E65*12/(G65-F65))</f>
        <v>8282.7287525339634</v>
      </c>
    </row>
    <row r="66" spans="2:8">
      <c r="B66" s="23" t="s">
        <v>348</v>
      </c>
      <c r="C66" s="23"/>
      <c r="D66" s="1370"/>
      <c r="E66" s="224">
        <f>'1 И 2 ПОЛУГОДИЕ 2012'!B55</f>
        <v>942948.34</v>
      </c>
      <c r="F66" s="224">
        <f>'1 И 2 ПОЛУГОДИЕ 2012'!D55</f>
        <v>414.16</v>
      </c>
      <c r="G66" s="224">
        <f>'1 И 2 ПОЛУГОДИЕ 2012'!F55</f>
        <v>1847.1</v>
      </c>
      <c r="H66" s="123">
        <f>(E66*12/(G66-F66))</f>
        <v>7896.6181975518875</v>
      </c>
    </row>
    <row r="67" spans="2:8">
      <c r="B67" s="13" t="s">
        <v>280</v>
      </c>
      <c r="C67" s="583"/>
      <c r="D67" s="583"/>
      <c r="E67" s="224">
        <f>'1 И 2 ПОЛУГОДИЕ 2012'!B56</f>
        <v>1640145.12</v>
      </c>
      <c r="F67" s="224">
        <f>'1 И 2 ПОЛУГОДИЕ 2012'!D56</f>
        <v>472.06</v>
      </c>
      <c r="G67" s="224">
        <f>'1 И 2 ПОЛУГОДИЕ 2012'!F56</f>
        <v>2747.68</v>
      </c>
      <c r="H67" s="585">
        <f>(E67*12/(G67-F67))</f>
        <v>8648.9578400611717</v>
      </c>
    </row>
    <row r="68" spans="2:8">
      <c r="B68" s="374" t="s">
        <v>449</v>
      </c>
      <c r="C68" s="374"/>
      <c r="D68" s="1371"/>
      <c r="E68" s="224"/>
      <c r="F68" s="224"/>
      <c r="G68" s="224">
        <f>'1 И 2 ПОЛУГОДИЕ 2012'!F57</f>
        <v>437.28</v>
      </c>
      <c r="H68" s="229">
        <f>(E68*12/(G68-F68))</f>
        <v>0</v>
      </c>
    </row>
    <row r="69" spans="2:8">
      <c r="B69" s="55"/>
      <c r="C69" s="55"/>
      <c r="D69" s="55"/>
      <c r="E69" s="55"/>
      <c r="F69" s="55"/>
      <c r="G69" s="55"/>
      <c r="H69" s="55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60:G61"/>
    <mergeCell ref="A22:A23"/>
    <mergeCell ref="B22:E23"/>
    <mergeCell ref="A30:A31"/>
    <mergeCell ref="B30:B31"/>
    <mergeCell ref="B60:B63"/>
    <mergeCell ref="E60:E6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6">
    <tabColor rgb="FF92D050"/>
  </sheetPr>
  <dimension ref="A1:S69"/>
  <sheetViews>
    <sheetView topLeftCell="A16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11.5546875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1278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1365" t="s">
        <v>1258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1279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1265</v>
      </c>
      <c r="J16" s="255"/>
      <c r="K16" s="256"/>
      <c r="L16" s="649" t="s">
        <v>446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453"/>
      <c r="R18" s="1454"/>
      <c r="S18" s="479"/>
    </row>
    <row r="19" spans="1:19" ht="27.6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1440"/>
      <c r="I19" s="1441">
        <f>'2012'!I19/2</f>
        <v>1372.4</v>
      </c>
      <c r="J19" s="1442">
        <f>E42*E43/1000</f>
        <v>1090.8186072443823</v>
      </c>
      <c r="K19" s="1444">
        <f>ROUND((I19+J19),1)</f>
        <v>2463.1999999999998</v>
      </c>
      <c r="L19" s="1386" t="s">
        <v>1302</v>
      </c>
      <c r="M19" s="1387"/>
      <c r="N19" s="289">
        <f>N23-N31+N36</f>
        <v>2514.6138126486871</v>
      </c>
      <c r="O19" s="276">
        <f>$E$42*$E$43/1000</f>
        <v>1090.8186072443823</v>
      </c>
      <c r="Q19" s="1453"/>
      <c r="R19" s="479"/>
      <c r="S19" s="1455"/>
    </row>
    <row r="20" spans="1:19" ht="43.5" customHeight="1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I23+I36-I31</f>
        <v>1882.0833721999998</v>
      </c>
      <c r="J20" s="294">
        <f>ROUND((J23+J36-J31),1)</f>
        <v>1485.8</v>
      </c>
      <c r="K20" s="286">
        <f>ROUND((I20+J20),1)</f>
        <v>3367.9</v>
      </c>
      <c r="L20" s="1386" t="s">
        <v>1268</v>
      </c>
      <c r="M20" s="1387"/>
      <c r="N20" s="1435">
        <f>N23-K31+N36</f>
        <v>2437.3973991780172</v>
      </c>
      <c r="P20" s="1436">
        <f>N20-J20</f>
        <v>951.59739917801721</v>
      </c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>
        <f>K19-K20</f>
        <v>-904.70000000000027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5686.6223790000004</v>
      </c>
      <c r="J23" s="321">
        <f>SUM(J25:J29)</f>
        <v>1406.9213168000001</v>
      </c>
      <c r="K23" s="322">
        <f>SUM(K25:K29)</f>
        <v>7093.5436958</v>
      </c>
      <c r="L23" s="295"/>
      <c r="M23" s="211"/>
      <c r="N23" s="322">
        <f>SUM(N25:N29)</f>
        <v>6204</v>
      </c>
      <c r="O23" s="609">
        <f>N23-K23</f>
        <v>-889.54369580000002</v>
      </c>
      <c r="P23" s="623">
        <f>N19-K20</f>
        <v>-853.28618735131295</v>
      </c>
    </row>
    <row r="24" spans="1:19" ht="27.75" customHeight="1">
      <c r="A24" s="282"/>
      <c r="B24" s="280" t="s">
        <v>414</v>
      </c>
      <c r="C24" s="605" t="s">
        <v>715</v>
      </c>
      <c r="D24" s="1417">
        <f>SUM(D25:D29)</f>
        <v>1.3699999999999999</v>
      </c>
      <c r="E24" s="1283">
        <f>SUM(E25:E29)</f>
        <v>4674.2999999999993</v>
      </c>
      <c r="F24" s="282"/>
      <c r="G24" s="280"/>
      <c r="H24" s="283"/>
      <c r="I24" s="1437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3567.3157894736842</v>
      </c>
      <c r="D25" s="1417">
        <f>'2012'!D25</f>
        <v>0.56999999999999995</v>
      </c>
      <c r="E25" s="1283">
        <f>2033.37</f>
        <v>2033.37</v>
      </c>
      <c r="F25" s="325">
        <f>E64</f>
        <v>364484.63</v>
      </c>
      <c r="G25" s="326">
        <f>F64</f>
        <v>151.36000000000001</v>
      </c>
      <c r="H25" s="327">
        <f>G64</f>
        <v>671</v>
      </c>
      <c r="I25" s="1438">
        <f>D25*F25*6/1000</f>
        <v>1246.5374345999999</v>
      </c>
      <c r="J25" s="556">
        <f>E25*G25/1000</f>
        <v>307.77088320000001</v>
      </c>
      <c r="K25" s="557">
        <f>I25+J25</f>
        <v>1554.3083177999999</v>
      </c>
      <c r="L25" s="1286"/>
      <c r="M25" s="556"/>
      <c r="N25" s="557">
        <f>ROUND((E25*H25/1000),1)</f>
        <v>1364.4</v>
      </c>
      <c r="O25" s="1375">
        <f>'2012г.об.под факт2010'!N23-'1п-е 2012'!N23</f>
        <v>9346.7999999999993</v>
      </c>
    </row>
    <row r="26" spans="1:19">
      <c r="A26" s="290"/>
      <c r="B26" s="324" t="s">
        <v>415</v>
      </c>
      <c r="C26" s="1299">
        <f>E26/D26</f>
        <v>3341.9866666666662</v>
      </c>
      <c r="D26" s="1417">
        <f>'2012'!D26</f>
        <v>0.75</v>
      </c>
      <c r="E26" s="1283">
        <f>2506.49</f>
        <v>2506.4899999999998</v>
      </c>
      <c r="F26" s="325">
        <f t="shared" ref="F26:H27" si="0">E66</f>
        <v>942948.34</v>
      </c>
      <c r="G26" s="326">
        <f t="shared" si="0"/>
        <v>414.16</v>
      </c>
      <c r="H26" s="327">
        <f t="shared" si="0"/>
        <v>1847.1</v>
      </c>
      <c r="I26" s="1438">
        <f>D26*F26*6/1000</f>
        <v>4243.2675300000001</v>
      </c>
      <c r="J26" s="556">
        <f>E26*G26/1000</f>
        <v>1038.0878983999999</v>
      </c>
      <c r="K26" s="557">
        <f>I26+J26</f>
        <v>5281.3554284000002</v>
      </c>
      <c r="L26" s="1286"/>
      <c r="M26" s="556"/>
      <c r="N26" s="557">
        <f>ROUND((E26*H26/1000),1)</f>
        <v>4629.7</v>
      </c>
      <c r="O26" s="1376" t="s">
        <v>1257</v>
      </c>
    </row>
    <row r="27" spans="1:19">
      <c r="A27" s="290"/>
      <c r="B27" s="328" t="s">
        <v>1226</v>
      </c>
      <c r="C27" s="1299">
        <f>E27/D27</f>
        <v>3270</v>
      </c>
      <c r="D27" s="1417">
        <f>'2012'!D27</f>
        <v>0.02</v>
      </c>
      <c r="E27" s="1283">
        <f>65.4</f>
        <v>65.400000000000006</v>
      </c>
      <c r="F27" s="325">
        <f t="shared" si="0"/>
        <v>1640145.12</v>
      </c>
      <c r="G27" s="326">
        <f t="shared" si="0"/>
        <v>472.06</v>
      </c>
      <c r="H27" s="327">
        <f t="shared" si="0"/>
        <v>2747.68</v>
      </c>
      <c r="I27" s="1438">
        <f>D27*F27*6/1000</f>
        <v>196.81741440000005</v>
      </c>
      <c r="J27" s="556">
        <f>E27*G27/1000</f>
        <v>30.872724000000002</v>
      </c>
      <c r="K27" s="557">
        <f>I27+J27</f>
        <v>227.69013840000005</v>
      </c>
      <c r="L27" s="1286"/>
      <c r="M27" s="556"/>
      <c r="N27" s="557">
        <f>ROUND((E27*H27/1000),1)</f>
        <v>179.7</v>
      </c>
    </row>
    <row r="28" spans="1:19" s="391" customFormat="1" ht="28.2">
      <c r="A28" s="290"/>
      <c r="B28" s="328" t="s">
        <v>1225</v>
      </c>
      <c r="C28" s="1299" t="e">
        <f>E28/D28</f>
        <v>#DIV/0!</v>
      </c>
      <c r="D28" s="1417">
        <f>'2012'!D28</f>
        <v>0</v>
      </c>
      <c r="E28" s="1283">
        <f>7.75</f>
        <v>7.75</v>
      </c>
      <c r="F28" s="325"/>
      <c r="G28" s="326"/>
      <c r="H28" s="327">
        <f>G68</f>
        <v>437.28</v>
      </c>
      <c r="I28" s="1438">
        <f>D28*F28*6/1000</f>
        <v>0</v>
      </c>
      <c r="J28" s="556">
        <f>K28</f>
        <v>3.3889199999999997</v>
      </c>
      <c r="K28" s="557">
        <f>E28*H28/1000</f>
        <v>3.3889199999999997</v>
      </c>
      <c r="L28" s="1286"/>
      <c r="M28" s="556"/>
      <c r="N28" s="557">
        <f>ROUND((E28*H28/1000),1)</f>
        <v>3.4</v>
      </c>
    </row>
    <row r="29" spans="1:19" s="391" customFormat="1" ht="28.8" thickBot="1">
      <c r="A29" s="401"/>
      <c r="B29" s="328" t="s">
        <v>416</v>
      </c>
      <c r="C29" s="627">
        <f>E29/D29</f>
        <v>2043</v>
      </c>
      <c r="D29" s="1490">
        <f>'2012'!D29</f>
        <v>0.03</v>
      </c>
      <c r="E29" s="330">
        <f>61.29</f>
        <v>61.29</v>
      </c>
      <c r="F29" s="405"/>
      <c r="G29" s="406"/>
      <c r="H29" s="407">
        <f>H28</f>
        <v>437.28</v>
      </c>
      <c r="I29" s="1439"/>
      <c r="J29" s="332">
        <f>K29</f>
        <v>26.800891199999999</v>
      </c>
      <c r="K29" s="333">
        <f>H29*E29/1000</f>
        <v>26.800891199999999</v>
      </c>
      <c r="L29" s="331"/>
      <c r="M29" s="1287"/>
      <c r="N29" s="333">
        <f>ROUND((E29*H29/1000),1)</f>
        <v>26.8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450">
        <f>SUM(I32:I35)</f>
        <v>5118.1189702000001</v>
      </c>
      <c r="J31" s="1451">
        <f>SUM(J32:J35)</f>
        <v>552.97982752000007</v>
      </c>
      <c r="K31" s="1298">
        <f>SUM(K32:K35)</f>
        <v>5671.0987977200002</v>
      </c>
      <c r="L31" s="615">
        <f>SUM(L35:L35)</f>
        <v>0</v>
      </c>
      <c r="M31" s="465">
        <f>SUM(M35:M35)</f>
        <v>0</v>
      </c>
      <c r="N31" s="628">
        <f>SUM(N32:N35)</f>
        <v>5593.8823842493302</v>
      </c>
    </row>
    <row r="32" spans="1:19" ht="22.5" customHeight="1">
      <c r="A32" s="339">
        <v>1</v>
      </c>
      <c r="B32" s="280" t="s">
        <v>1273</v>
      </c>
      <c r="C32" s="626">
        <f>E32/D32</f>
        <v>3875.2</v>
      </c>
      <c r="D32" s="1417">
        <f>'2012'!D32</f>
        <v>7.0000000000000007E-2</v>
      </c>
      <c r="E32" s="1283">
        <f>'[15]П1.30 -2012г.1 полугод.'!$C$28</f>
        <v>271.26400000000001</v>
      </c>
      <c r="F32" s="1416">
        <v>397902.31</v>
      </c>
      <c r="G32" s="1417">
        <v>93.93</v>
      </c>
      <c r="H32" s="1418">
        <v>758.64685454135008</v>
      </c>
      <c r="I32" s="295">
        <f>$D32*$F32*6/1000</f>
        <v>167.11897020000004</v>
      </c>
      <c r="J32" s="211">
        <f>$E32*$G32/1000</f>
        <v>25.479827520000004</v>
      </c>
      <c r="K32" s="296">
        <f>I32+J32</f>
        <v>192.59879772000005</v>
      </c>
      <c r="L32" s="465"/>
      <c r="M32" s="465"/>
      <c r="N32" s="603">
        <f>E32*H32/1000</f>
        <v>205.79358035030481</v>
      </c>
    </row>
    <row r="33" spans="1:15" ht="22.5" customHeight="1">
      <c r="A33" s="1381">
        <v>2</v>
      </c>
      <c r="B33" s="1382" t="s">
        <v>1276</v>
      </c>
      <c r="C33" s="1383">
        <f>E33/D33</f>
        <v>3689.8285714285712</v>
      </c>
      <c r="D33" s="1417">
        <f>'2012'!D33</f>
        <v>7.0000000000000007E-2</v>
      </c>
      <c r="E33" s="1283">
        <f>'[15]П1.30 -2012г.1 полугод.'!$C$14</f>
        <v>258.28800000000001</v>
      </c>
      <c r="F33" s="1416">
        <v>139799.97</v>
      </c>
      <c r="G33" s="1417">
        <v>95.89</v>
      </c>
      <c r="H33" s="1419">
        <v>331.81098137210358</v>
      </c>
      <c r="I33" s="556">
        <f>ROUND(($D$33*$F$33*6/1000),1)</f>
        <v>58.7</v>
      </c>
      <c r="J33" s="556">
        <f>ROUND(($E$33*$G$33/1000),1)</f>
        <v>24.8</v>
      </c>
      <c r="K33" s="557">
        <f>I33+J33</f>
        <v>83.5</v>
      </c>
      <c r="L33" s="465"/>
      <c r="M33" s="465"/>
      <c r="N33" s="603">
        <f>E33*H33/1000</f>
        <v>85.7027947566379</v>
      </c>
    </row>
    <row r="34" spans="1:15" ht="22.5" customHeight="1">
      <c r="A34" s="1420">
        <v>3</v>
      </c>
      <c r="B34" s="363" t="s">
        <v>1277</v>
      </c>
      <c r="C34" s="1383">
        <f>E34/D34</f>
        <v>3745.9338953205188</v>
      </c>
      <c r="D34" s="1487">
        <f>'2012'!D34</f>
        <v>2.87</v>
      </c>
      <c r="E34" s="1288">
        <f>$E$24+$E$38+$E$39+$E$32+$E$35+$E$42-$E$33</f>
        <v>10750.830279569889</v>
      </c>
      <c r="F34" s="1416">
        <v>283891.76</v>
      </c>
      <c r="G34" s="1417">
        <v>46.69</v>
      </c>
      <c r="H34" s="1419">
        <v>492.77467676721807</v>
      </c>
      <c r="I34" s="556">
        <f>ROUND(($D$34*$F$34*6/1000),1)</f>
        <v>4888.6000000000004</v>
      </c>
      <c r="J34" s="556">
        <f>ROUND(($E$34*$G$34/1000),1)</f>
        <v>502</v>
      </c>
      <c r="K34" s="557">
        <f>I34+J34</f>
        <v>5390.6</v>
      </c>
      <c r="L34" s="465"/>
      <c r="M34" s="465"/>
      <c r="N34" s="603">
        <f>E34*H34/1000</f>
        <v>5297.7369159942727</v>
      </c>
    </row>
    <row r="35" spans="1:15" ht="22.5" customHeight="1" thickBot="1">
      <c r="A35" s="339">
        <v>4</v>
      </c>
      <c r="B35" s="280" t="s">
        <v>1274</v>
      </c>
      <c r="C35" s="626">
        <f>E35/D35</f>
        <v>4710.1777777777779</v>
      </c>
      <c r="D35" s="1417">
        <f>'2012'!D35</f>
        <v>0.09</v>
      </c>
      <c r="E35" s="1282">
        <f>'[15]П1.30 -2012г.1 полугод.'!$C$24</f>
        <v>423.916</v>
      </c>
      <c r="F35" s="1416">
        <v>6820.2</v>
      </c>
      <c r="G35" s="1417">
        <v>1.61</v>
      </c>
      <c r="H35" s="1419">
        <v>10.967015040986782</v>
      </c>
      <c r="I35" s="556">
        <f>ROUND(($D$35*$F$35*6/1000),1)</f>
        <v>3.7</v>
      </c>
      <c r="J35" s="556">
        <f>ROUND(($E$35*$G$35/1000),1)</f>
        <v>0.7</v>
      </c>
      <c r="K35" s="557">
        <f>I35+J35</f>
        <v>4.4000000000000004</v>
      </c>
      <c r="L35" s="465"/>
      <c r="M35" s="465"/>
      <c r="N35" s="603">
        <f>E35*H35/1000</f>
        <v>4.6490931481149529</v>
      </c>
    </row>
    <row r="36" spans="1:15" ht="46.8">
      <c r="A36" s="1421" t="s">
        <v>422</v>
      </c>
      <c r="B36" s="1422" t="s">
        <v>1230</v>
      </c>
      <c r="C36" s="1423"/>
      <c r="D36" s="1488"/>
      <c r="E36" s="1425"/>
      <c r="F36" s="1426" t="s">
        <v>420</v>
      </c>
      <c r="G36" s="1427" t="s">
        <v>90</v>
      </c>
      <c r="H36" s="1428" t="s">
        <v>90</v>
      </c>
      <c r="I36" s="1429">
        <f>SUM(I37:I39)</f>
        <v>1313.5799634</v>
      </c>
      <c r="J36" s="1430">
        <f>SUM(J37:J39)</f>
        <v>631.82175999999993</v>
      </c>
      <c r="K36" s="1431">
        <f>SUM(K37:K39)</f>
        <v>1945.4017234</v>
      </c>
      <c r="L36" s="1432">
        <f>SUM(L38:L39)</f>
        <v>0</v>
      </c>
      <c r="M36" s="1433">
        <f>SUM(M38:M39)</f>
        <v>0</v>
      </c>
      <c r="N36" s="1431">
        <f>SUM(N37:N39)</f>
        <v>1904.4961968980174</v>
      </c>
    </row>
    <row r="37" spans="1:15" hidden="1">
      <c r="A37" s="339">
        <v>1</v>
      </c>
      <c r="B37" s="280" t="s">
        <v>1263</v>
      </c>
      <c r="C37" s="626">
        <f>E37/D37</f>
        <v>3759.0315662831781</v>
      </c>
      <c r="D37" s="1484">
        <f>$D$24+$D$38+$D$39+$D$32+$D$35+$G$42-$D$33</f>
        <v>2.86</v>
      </c>
      <c r="E37" s="1304">
        <f>$E$24+$E$38+$E$39+$E$32+$E$35+$E$42-$E$33</f>
        <v>10750.830279569889</v>
      </c>
      <c r="F37" s="616"/>
      <c r="G37" s="617"/>
      <c r="H37" s="1434">
        <v>0</v>
      </c>
      <c r="I37" s="1406">
        <f>$D$37*$F$37*12/1000</f>
        <v>0</v>
      </c>
      <c r="J37" s="1407">
        <f>$E$37*$G$37/1000</f>
        <v>0</v>
      </c>
      <c r="K37" s="1408">
        <f>I37+J37</f>
        <v>0</v>
      </c>
      <c r="L37" s="1409"/>
      <c r="M37" s="1407"/>
      <c r="N37" s="1408">
        <f>E37*H37/1000</f>
        <v>0</v>
      </c>
    </row>
    <row r="38" spans="1:15" ht="16.2">
      <c r="A38" s="339">
        <v>1</v>
      </c>
      <c r="B38" s="280" t="s">
        <v>1275</v>
      </c>
      <c r="C38" s="626">
        <f>E38/D38</f>
        <v>4146.7889908256875</v>
      </c>
      <c r="D38" s="1489">
        <f>'2012'!D38</f>
        <v>1.0900000000000001</v>
      </c>
      <c r="E38" s="1384">
        <f>'[15]П1.30 -2012г.1 полугод.'!$C$22</f>
        <v>4520</v>
      </c>
      <c r="F38" s="325">
        <v>181738.41</v>
      </c>
      <c r="G38" s="326">
        <v>125.28</v>
      </c>
      <c r="H38" s="1415">
        <v>377.63014891719746</v>
      </c>
      <c r="I38" s="1406">
        <f>$D38*$F38*6/1000</f>
        <v>1188.5692014000001</v>
      </c>
      <c r="J38" s="1407">
        <f>$E38*$G38/1000</f>
        <v>566.26559999999995</v>
      </c>
      <c r="K38" s="1408">
        <f>I38+J38</f>
        <v>1754.8348014000001</v>
      </c>
      <c r="L38" s="1409"/>
      <c r="M38" s="1407"/>
      <c r="N38" s="1408">
        <f>E38*H38/1000</f>
        <v>1706.8882731057327</v>
      </c>
    </row>
    <row r="39" spans="1:15" ht="32.25" customHeight="1" thickBot="1">
      <c r="A39" s="340">
        <v>2</v>
      </c>
      <c r="B39" s="1385" t="s">
        <v>1272</v>
      </c>
      <c r="C39" s="627">
        <f>E39/D39</f>
        <v>3490</v>
      </c>
      <c r="D39" s="1490">
        <f>'2012'!D39</f>
        <v>0.1</v>
      </c>
      <c r="E39" s="607">
        <f>'[15]П1.30 -2012г.1 полугод.'!$C$26</f>
        <v>349</v>
      </c>
      <c r="F39" s="405">
        <v>208351.27</v>
      </c>
      <c r="G39" s="406">
        <v>187.84</v>
      </c>
      <c r="H39" s="1414">
        <v>566.21181602373883</v>
      </c>
      <c r="I39" s="1410">
        <f>$D$39*$F$39*6/1000</f>
        <v>125.010762</v>
      </c>
      <c r="J39" s="1411">
        <f>$E$39*$G$39/1000</f>
        <v>65.556160000000006</v>
      </c>
      <c r="K39" s="1412">
        <f>I39+J39</f>
        <v>190.56692200000001</v>
      </c>
      <c r="L39" s="624"/>
      <c r="M39" s="625"/>
      <c r="N39" s="1413">
        <f>E39*H39/1000</f>
        <v>197.60792379228485</v>
      </c>
    </row>
    <row r="40" spans="1:15" hidden="1">
      <c r="F40" s="94"/>
      <c r="G40" s="94"/>
      <c r="H40" s="94"/>
      <c r="L40" s="17"/>
      <c r="M40" s="17"/>
      <c r="N40" s="17"/>
    </row>
    <row r="41" spans="1:15">
      <c r="B41" s="52" t="s">
        <v>352</v>
      </c>
      <c r="C41" s="52"/>
      <c r="L41" s="17"/>
      <c r="M41" s="17"/>
      <c r="N41" s="17"/>
    </row>
    <row r="42" spans="1:15">
      <c r="D42" s="52" t="s">
        <v>1234</v>
      </c>
      <c r="E42" s="867">
        <f>(E24+E32+E35+E38+E39)/(1-7/100)*7/100</f>
        <v>770.63827956989246</v>
      </c>
      <c r="F42" s="17" t="s">
        <v>423</v>
      </c>
      <c r="G42" s="17">
        <v>0.21</v>
      </c>
      <c r="H42" s="1483">
        <f>E42/(E34+E33)</f>
        <v>7.0000000000000021E-2</v>
      </c>
      <c r="L42" s="17"/>
      <c r="M42" s="17"/>
      <c r="N42" s="17"/>
    </row>
    <row r="43" spans="1:15">
      <c r="D43" s="52" t="s">
        <v>424</v>
      </c>
      <c r="E43" s="1482">
        <f>2216.76/1566.09*1000</f>
        <v>1415.4742064632301</v>
      </c>
      <c r="F43" s="17" t="s">
        <v>425</v>
      </c>
      <c r="L43" s="17"/>
      <c r="M43" s="17"/>
      <c r="N43" s="17"/>
    </row>
    <row r="44" spans="1:15" hidden="1"/>
    <row r="45" spans="1:15" hidden="1">
      <c r="E45" s="17" t="s">
        <v>425</v>
      </c>
      <c r="G45" s="410" t="s">
        <v>722</v>
      </c>
      <c r="H45" s="410"/>
      <c r="I45" s="410"/>
      <c r="J45" s="410"/>
      <c r="K45" s="410"/>
    </row>
    <row r="46" spans="1:15" hidden="1">
      <c r="E46" s="417"/>
      <c r="F46" s="416"/>
      <c r="G46" s="411" t="s">
        <v>419</v>
      </c>
      <c r="H46" s="411"/>
      <c r="I46" s="411"/>
      <c r="J46" s="415" t="s">
        <v>606</v>
      </c>
      <c r="K46" s="415"/>
      <c r="L46" s="17"/>
      <c r="M46" s="17"/>
      <c r="N46" s="17"/>
      <c r="O46" s="342"/>
    </row>
    <row r="47" spans="1:15" ht="27" hidden="1">
      <c r="E47" s="417"/>
      <c r="F47" s="416"/>
      <c r="G47" s="412" t="s">
        <v>420</v>
      </c>
      <c r="H47" s="412" t="s">
        <v>90</v>
      </c>
      <c r="I47" s="413" t="s">
        <v>605</v>
      </c>
      <c r="J47" s="410"/>
      <c r="K47" s="410"/>
      <c r="L47" s="17"/>
      <c r="M47" s="17"/>
      <c r="N47" s="17"/>
      <c r="O47" s="343"/>
    </row>
    <row r="48" spans="1:15" hidden="1">
      <c r="E48" s="417"/>
      <c r="F48" s="416"/>
      <c r="G48" s="148"/>
      <c r="H48" s="148"/>
      <c r="I48" s="148"/>
      <c r="J48" s="410"/>
      <c r="K48" s="410"/>
      <c r="L48" s="17"/>
      <c r="M48" s="17"/>
      <c r="N48" s="17"/>
      <c r="O48" s="342"/>
    </row>
    <row r="49" spans="2:14" hidden="1">
      <c r="E49" s="417"/>
      <c r="F49" s="416" t="s">
        <v>723</v>
      </c>
      <c r="G49" s="148"/>
      <c r="H49" s="148"/>
      <c r="I49" s="148"/>
      <c r="J49" s="410"/>
      <c r="K49" s="410"/>
    </row>
    <row r="50" spans="2:14" hidden="1">
      <c r="E50" s="417"/>
      <c r="F50" s="416" t="s">
        <v>421</v>
      </c>
      <c r="G50" s="414"/>
      <c r="H50" s="414"/>
      <c r="I50" s="414"/>
      <c r="J50" s="410"/>
      <c r="K50" s="414"/>
    </row>
    <row r="51" spans="2:14" hidden="1">
      <c r="E51" s="417"/>
      <c r="F51" s="416" t="s">
        <v>447</v>
      </c>
      <c r="G51" s="414"/>
      <c r="H51" s="414"/>
      <c r="I51" s="414"/>
      <c r="J51" s="410"/>
      <c r="K51" s="414"/>
    </row>
    <row r="52" spans="2:14" hidden="1">
      <c r="E52" s="417"/>
      <c r="F52" s="416" t="s">
        <v>720</v>
      </c>
      <c r="G52" s="414"/>
      <c r="H52" s="414"/>
      <c r="I52" s="414"/>
      <c r="J52" s="410"/>
      <c r="K52" s="414"/>
    </row>
    <row r="53" spans="2:14" hidden="1">
      <c r="E53" s="417"/>
      <c r="F53" s="416" t="s">
        <v>248</v>
      </c>
      <c r="G53" s="414"/>
      <c r="H53" s="414"/>
      <c r="I53" s="414"/>
      <c r="J53" s="410"/>
      <c r="K53" s="414"/>
    </row>
    <row r="54" spans="2:14" hidden="1"/>
    <row r="55" spans="2:14" hidden="1"/>
    <row r="56" spans="2:14" hidden="1">
      <c r="K56" s="94"/>
      <c r="L56" s="17"/>
      <c r="M56" s="17"/>
      <c r="N56" s="17"/>
    </row>
    <row r="57" spans="2:14" hidden="1"/>
    <row r="58" spans="2:14" hidden="1"/>
    <row r="59" spans="2:14" ht="12.75" customHeight="1">
      <c r="B59" s="6" t="s">
        <v>1267</v>
      </c>
      <c r="C59" s="6"/>
      <c r="D59" s="6"/>
      <c r="E59" s="6"/>
      <c r="F59" s="6"/>
      <c r="G59" s="123"/>
      <c r="H59" s="124"/>
    </row>
    <row r="60" spans="2:14">
      <c r="B60" s="3025" t="s">
        <v>337</v>
      </c>
      <c r="C60" s="8"/>
      <c r="D60" s="8"/>
      <c r="E60" s="3038" t="s">
        <v>338</v>
      </c>
      <c r="F60" s="23" t="s">
        <v>339</v>
      </c>
      <c r="G60" s="3025" t="s">
        <v>340</v>
      </c>
      <c r="H60" s="6"/>
    </row>
    <row r="61" spans="2:14" ht="66.599999999999994">
      <c r="B61" s="3037"/>
      <c r="C61" s="15"/>
      <c r="D61" s="15"/>
      <c r="E61" s="3039"/>
      <c r="F61" s="23" t="s">
        <v>341</v>
      </c>
      <c r="G61" s="3026"/>
      <c r="H61" s="6"/>
    </row>
    <row r="62" spans="2:14" ht="16.8">
      <c r="B62" s="3037"/>
      <c r="C62" s="15"/>
      <c r="D62" s="15"/>
      <c r="E62" s="98" t="s">
        <v>342</v>
      </c>
      <c r="F62" s="98" t="s">
        <v>343</v>
      </c>
      <c r="G62" s="13"/>
      <c r="H62" s="124" t="s">
        <v>336</v>
      </c>
    </row>
    <row r="63" spans="2:14" ht="15.75" customHeight="1">
      <c r="B63" s="3026"/>
      <c r="C63" s="10"/>
      <c r="D63" s="10"/>
      <c r="E63" s="13" t="s">
        <v>99</v>
      </c>
      <c r="F63" s="13" t="s">
        <v>344</v>
      </c>
      <c r="G63" s="13" t="s">
        <v>344</v>
      </c>
      <c r="H63" s="123"/>
    </row>
    <row r="64" spans="2:14">
      <c r="B64" s="13" t="s">
        <v>292</v>
      </c>
      <c r="C64" s="583"/>
      <c r="D64" s="583"/>
      <c r="E64" s="224">
        <f>'1 И 2 ПОЛУГОДИЕ 2012'!B53</f>
        <v>364484.63</v>
      </c>
      <c r="F64" s="224">
        <f>'1 И 2 ПОЛУГОДИЕ 2012'!D53</f>
        <v>151.36000000000001</v>
      </c>
      <c r="G64" s="224">
        <f>'1 И 2 ПОЛУГОДИЕ 2012'!F53</f>
        <v>671</v>
      </c>
      <c r="H64" s="585">
        <f>(E64*12/(G64-F64))</f>
        <v>8417.0109306442937</v>
      </c>
    </row>
    <row r="65" spans="2:8">
      <c r="B65" s="13" t="s">
        <v>276</v>
      </c>
      <c r="C65" s="13"/>
      <c r="D65" s="1308"/>
      <c r="E65" s="224">
        <f>'1 И 2 ПОЛУГОДИЕ 2012'!B54</f>
        <v>684381.17</v>
      </c>
      <c r="F65" s="224">
        <f>'1 И 2 ПОЛУГОДИЕ 2012'!D54</f>
        <v>162.12</v>
      </c>
      <c r="G65" s="224">
        <f>'1 И 2 ПОЛУГОДИЕ 2012'!F54</f>
        <v>1153.6500000000001</v>
      </c>
      <c r="H65" s="123">
        <f>(E65*12/(G65-F65))</f>
        <v>8282.7287525339634</v>
      </c>
    </row>
    <row r="66" spans="2:8">
      <c r="B66" s="23" t="s">
        <v>348</v>
      </c>
      <c r="C66" s="23"/>
      <c r="D66" s="1370"/>
      <c r="E66" s="224">
        <f>'1 И 2 ПОЛУГОДИЕ 2012'!B55</f>
        <v>942948.34</v>
      </c>
      <c r="F66" s="224">
        <f>'1 И 2 ПОЛУГОДИЕ 2012'!D55</f>
        <v>414.16</v>
      </c>
      <c r="G66" s="224">
        <f>'1 И 2 ПОЛУГОДИЕ 2012'!F55</f>
        <v>1847.1</v>
      </c>
      <c r="H66" s="123">
        <f>(E66*12/(G66-F66))</f>
        <v>7896.6181975518875</v>
      </c>
    </row>
    <row r="67" spans="2:8">
      <c r="B67" s="13" t="s">
        <v>280</v>
      </c>
      <c r="C67" s="583"/>
      <c r="D67" s="583"/>
      <c r="E67" s="224">
        <f>'1 И 2 ПОЛУГОДИЕ 2012'!B56</f>
        <v>1640145.12</v>
      </c>
      <c r="F67" s="224">
        <f>'1 И 2 ПОЛУГОДИЕ 2012'!D56</f>
        <v>472.06</v>
      </c>
      <c r="G67" s="224">
        <f>'1 И 2 ПОЛУГОДИЕ 2012'!F56</f>
        <v>2747.68</v>
      </c>
      <c r="H67" s="585">
        <f>(E67*12/(G67-F67))</f>
        <v>8648.9578400611717</v>
      </c>
    </row>
    <row r="68" spans="2:8">
      <c r="B68" s="374" t="s">
        <v>449</v>
      </c>
      <c r="C68" s="374"/>
      <c r="D68" s="1371"/>
      <c r="E68" s="224"/>
      <c r="F68" s="224"/>
      <c r="G68" s="224">
        <f>'1 И 2 ПОЛУГОДИЕ 2012'!F57</f>
        <v>437.28</v>
      </c>
      <c r="H68" s="229">
        <f>(E68*12/(G68-F68))</f>
        <v>0</v>
      </c>
    </row>
    <row r="69" spans="2:8">
      <c r="B69" s="55"/>
      <c r="C69" s="55"/>
      <c r="D69" s="55"/>
      <c r="E69" s="55"/>
      <c r="F69" s="55"/>
      <c r="G69" s="55"/>
      <c r="H69" s="55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60:G61"/>
    <mergeCell ref="A22:A23"/>
    <mergeCell ref="B22:E23"/>
    <mergeCell ref="A30:A31"/>
    <mergeCell ref="B30:B31"/>
    <mergeCell ref="B60:B63"/>
    <mergeCell ref="E60:E6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7">
    <tabColor rgb="FF92D050"/>
  </sheetPr>
  <dimension ref="A1:S69"/>
  <sheetViews>
    <sheetView topLeftCell="A19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11.5546875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1281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1365" t="s">
        <v>1258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1280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1265</v>
      </c>
      <c r="J16" s="255"/>
      <c r="K16" s="256"/>
      <c r="L16" s="649" t="s">
        <v>446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453"/>
      <c r="R18" s="1454"/>
      <c r="S18" s="479"/>
    </row>
    <row r="19" spans="1:19" ht="27.6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1440"/>
      <c r="I19" s="1441">
        <f>'2012'!I19/2</f>
        <v>1372.4</v>
      </c>
      <c r="J19" s="1442">
        <f>E42*E43/1000</f>
        <v>1125.9355025565005</v>
      </c>
      <c r="K19" s="1443">
        <f>ROUND((I19+J19),1)</f>
        <v>2498.3000000000002</v>
      </c>
      <c r="L19" s="1386" t="s">
        <v>1302</v>
      </c>
      <c r="M19" s="1387"/>
      <c r="N19" s="289">
        <f>N23-N31+N36</f>
        <v>2446.8263114449855</v>
      </c>
      <c r="O19" s="276">
        <f>$E$42*$E$43/1000</f>
        <v>1125.9355025565005</v>
      </c>
      <c r="Q19" s="1453"/>
      <c r="R19" s="479"/>
      <c r="S19" s="1455"/>
    </row>
    <row r="20" spans="1:19" ht="43.5" customHeight="1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I23+I36-I31</f>
        <v>2362.6166695999991</v>
      </c>
      <c r="J20" s="294">
        <f>ROUND((J23+J36-J31),1)</f>
        <v>1584</v>
      </c>
      <c r="K20" s="286">
        <f>ROUND((I20+J20),1)</f>
        <v>3946.6</v>
      </c>
      <c r="L20" s="1386" t="s">
        <v>1268</v>
      </c>
      <c r="M20" s="1387"/>
      <c r="N20" s="1435">
        <f>N23-K31+N36</f>
        <v>2531.638184281981</v>
      </c>
      <c r="P20" s="1436">
        <f>N20-J20</f>
        <v>947.63818428198101</v>
      </c>
      <c r="Q20" s="276">
        <f>'1п-е 2012'!P20+'2п-е 2012'!P20</f>
        <v>1899.2355834599982</v>
      </c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>
        <f>K19-K20</f>
        <v>-1448.2999999999997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6167.1556763999997</v>
      </c>
      <c r="J23" s="321">
        <f>SUM(J25:J29)</f>
        <v>1474.7456235</v>
      </c>
      <c r="K23" s="322">
        <f>I23+J23</f>
        <v>7641.9012998999997</v>
      </c>
      <c r="L23" s="295"/>
      <c r="M23" s="211"/>
      <c r="N23" s="322">
        <f>SUM(N25:N29)</f>
        <v>6180.9999999999991</v>
      </c>
      <c r="O23" s="609">
        <f>N23-K23</f>
        <v>-1460.9012999000006</v>
      </c>
      <c r="P23" s="623">
        <f>N19-K20</f>
        <v>-1499.7736885550144</v>
      </c>
    </row>
    <row r="24" spans="1:19" ht="27.75" customHeight="1">
      <c r="A24" s="282"/>
      <c r="B24" s="280" t="s">
        <v>414</v>
      </c>
      <c r="C24" s="605" t="s">
        <v>715</v>
      </c>
      <c r="D24" s="1417">
        <f>SUM(D25:D29)</f>
        <v>1.3699999999999999</v>
      </c>
      <c r="E24" s="1283">
        <f>SUM(E25:E29)</f>
        <v>4693.4000000000005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3573.0350877192986</v>
      </c>
      <c r="D25" s="1417">
        <f>'2012'!D25</f>
        <v>0.56999999999999995</v>
      </c>
      <c r="E25" s="1283">
        <f>2036.63</f>
        <v>2036.63</v>
      </c>
      <c r="F25" s="325">
        <f>E64</f>
        <v>397387.35</v>
      </c>
      <c r="G25" s="326">
        <f>F64</f>
        <v>158.29</v>
      </c>
      <c r="H25" s="327">
        <f>G64</f>
        <v>690.41</v>
      </c>
      <c r="I25" s="556">
        <f>D25*F25*6/1000</f>
        <v>1359.0647369999997</v>
      </c>
      <c r="J25" s="556">
        <f>E25*G25/1000</f>
        <v>322.37816269999996</v>
      </c>
      <c r="K25" s="557">
        <f>I25+J25</f>
        <v>1681.4428996999995</v>
      </c>
      <c r="L25" s="1286"/>
      <c r="M25" s="556"/>
      <c r="N25" s="557">
        <f>ROUND((E25*H25/1000),1)</f>
        <v>1406.1</v>
      </c>
      <c r="O25" s="1375">
        <f>'2012г.об.под факт2010'!N23-'2п-е 2012'!N23</f>
        <v>9369.7999999999993</v>
      </c>
    </row>
    <row r="26" spans="1:19">
      <c r="A26" s="290"/>
      <c r="B26" s="324" t="s">
        <v>415</v>
      </c>
      <c r="C26" s="1299">
        <f>E26/D26</f>
        <v>3347.3466666666668</v>
      </c>
      <c r="D26" s="1417">
        <f>'2012'!D26</f>
        <v>0.75</v>
      </c>
      <c r="E26" s="1283">
        <f>2510.51</f>
        <v>2510.5100000000002</v>
      </c>
      <c r="F26" s="325">
        <f t="shared" ref="F26:H27" si="0">E66</f>
        <v>1021368.45</v>
      </c>
      <c r="G26" s="326">
        <f t="shared" si="0"/>
        <v>432.48</v>
      </c>
      <c r="H26" s="327">
        <f t="shared" si="0"/>
        <v>1817.25</v>
      </c>
      <c r="I26" s="556">
        <f>D26*F26*6/1000</f>
        <v>4596.1580249999997</v>
      </c>
      <c r="J26" s="556">
        <f>E26*G26/1000</f>
        <v>1085.7453648000001</v>
      </c>
      <c r="K26" s="557">
        <f>I26+J26</f>
        <v>5681.9033897999998</v>
      </c>
      <c r="L26" s="1286"/>
      <c r="M26" s="556"/>
      <c r="N26" s="557">
        <f>ROUND((E26*H26/1000),1)</f>
        <v>4562.2</v>
      </c>
      <c r="O26" s="1376" t="s">
        <v>1257</v>
      </c>
    </row>
    <row r="27" spans="1:19">
      <c r="A27" s="290"/>
      <c r="B27" s="328" t="s">
        <v>1226</v>
      </c>
      <c r="C27" s="1299">
        <f>E27/D27</f>
        <v>3329.9999999999995</v>
      </c>
      <c r="D27" s="1491">
        <f>'2012'!D27</f>
        <v>0.02</v>
      </c>
      <c r="E27" s="1283">
        <f>66.6</f>
        <v>66.599999999999994</v>
      </c>
      <c r="F27" s="325">
        <f t="shared" si="0"/>
        <v>1766107.62</v>
      </c>
      <c r="G27" s="326">
        <f t="shared" si="0"/>
        <v>495.34</v>
      </c>
      <c r="H27" s="327">
        <f t="shared" si="0"/>
        <v>2688.41</v>
      </c>
      <c r="I27" s="556">
        <f>D27*F27*6/1000</f>
        <v>211.93291440000004</v>
      </c>
      <c r="J27" s="556">
        <f>E27*G27/1000</f>
        <v>32.989643999999991</v>
      </c>
      <c r="K27" s="557">
        <f>I27+J27</f>
        <v>244.92255840000004</v>
      </c>
      <c r="L27" s="1286"/>
      <c r="M27" s="556"/>
      <c r="N27" s="557">
        <f>ROUND((E27*H27/1000),1)</f>
        <v>179</v>
      </c>
    </row>
    <row r="28" spans="1:19" s="391" customFormat="1" ht="28.2">
      <c r="A28" s="290"/>
      <c r="B28" s="328" t="s">
        <v>1225</v>
      </c>
      <c r="C28" s="1299" t="e">
        <f>E28/D28</f>
        <v>#DIV/0!</v>
      </c>
      <c r="D28" s="1417">
        <f>'2012'!D28</f>
        <v>0</v>
      </c>
      <c r="E28" s="1283">
        <f>8.95</f>
        <v>8.9499999999999993</v>
      </c>
      <c r="F28" s="325"/>
      <c r="G28" s="326"/>
      <c r="H28" s="327">
        <f>G68</f>
        <v>422.2</v>
      </c>
      <c r="I28" s="556">
        <f>D28*F28*6/1000</f>
        <v>0</v>
      </c>
      <c r="J28" s="556">
        <f>K28</f>
        <v>3.7786899999999997</v>
      </c>
      <c r="K28" s="557">
        <f>E28*H28/1000</f>
        <v>3.7786899999999997</v>
      </c>
      <c r="L28" s="1286"/>
      <c r="M28" s="556"/>
      <c r="N28" s="557">
        <f>ROUND((E28*H28/1000),1)</f>
        <v>3.8</v>
      </c>
    </row>
    <row r="29" spans="1:19" s="391" customFormat="1" ht="28.8" thickBot="1">
      <c r="A29" s="401"/>
      <c r="B29" s="328" t="s">
        <v>416</v>
      </c>
      <c r="C29" s="627">
        <f>E29/D29</f>
        <v>2357</v>
      </c>
      <c r="D29" s="1490">
        <f>'2012'!D29</f>
        <v>0.03</v>
      </c>
      <c r="E29" s="330">
        <f>70.71</f>
        <v>70.709999999999994</v>
      </c>
      <c r="F29" s="405"/>
      <c r="G29" s="406"/>
      <c r="H29" s="407">
        <f>H28</f>
        <v>422.2</v>
      </c>
      <c r="I29" s="331"/>
      <c r="J29" s="332">
        <f>K29</f>
        <v>29.853761999999996</v>
      </c>
      <c r="K29" s="333">
        <f>H29*E29/1000</f>
        <v>29.853761999999996</v>
      </c>
      <c r="L29" s="331"/>
      <c r="M29" s="1287"/>
      <c r="N29" s="333">
        <f>ROUND((E29*H29/1000),1)</f>
        <v>29.9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1492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1493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450">
        <f>SUM(I32:I35)</f>
        <v>5118.1189702000001</v>
      </c>
      <c r="J31" s="1451">
        <f>SUM(J32:J35)</f>
        <v>565.64941542000008</v>
      </c>
      <c r="K31" s="1298">
        <f>SUM(K32:K35)</f>
        <v>5683.768385620001</v>
      </c>
      <c r="L31" s="615">
        <f>SUM(L35:L35)</f>
        <v>0</v>
      </c>
      <c r="M31" s="465">
        <f>SUM(M35:M35)</f>
        <v>0</v>
      </c>
      <c r="N31" s="628">
        <f>SUM(N32:N35)</f>
        <v>5768.5802584569965</v>
      </c>
    </row>
    <row r="32" spans="1:19" ht="22.5" customHeight="1">
      <c r="A32" s="339">
        <v>1</v>
      </c>
      <c r="B32" s="280" t="s">
        <v>1273</v>
      </c>
      <c r="C32" s="626">
        <f>E32/D32</f>
        <v>3718.4857142857136</v>
      </c>
      <c r="D32" s="1417">
        <f>'2012'!D32</f>
        <v>7.0000000000000007E-2</v>
      </c>
      <c r="E32" s="1283">
        <f>'[15]П1.30 - 2012г.2полугод '!$C$28</f>
        <v>260.29399999999998</v>
      </c>
      <c r="F32" s="1416">
        <v>397902.31</v>
      </c>
      <c r="G32" s="1417">
        <v>93.93</v>
      </c>
      <c r="H32" s="1418">
        <v>758.64685454135008</v>
      </c>
      <c r="I32" s="295">
        <f>$D32*$F32*6/1000</f>
        <v>167.11897020000004</v>
      </c>
      <c r="J32" s="211">
        <f>$E32*$G32/1000</f>
        <v>24.449415420000001</v>
      </c>
      <c r="K32" s="296">
        <f>I32+J32</f>
        <v>191.56838562000004</v>
      </c>
      <c r="L32" s="465"/>
      <c r="M32" s="465"/>
      <c r="N32" s="603">
        <f>E32*H32/1000</f>
        <v>197.47122435598618</v>
      </c>
    </row>
    <row r="33" spans="1:15" ht="22.5" customHeight="1">
      <c r="A33" s="1381">
        <v>2</v>
      </c>
      <c r="B33" s="1382" t="s">
        <v>1276</v>
      </c>
      <c r="C33" s="1383">
        <f>E33/D33</f>
        <v>2913.2142857142853</v>
      </c>
      <c r="D33" s="1417">
        <f>'2012'!D33</f>
        <v>7.0000000000000007E-2</v>
      </c>
      <c r="E33" s="1282">
        <f>'[15]П1.30 - 2012г.2полугод '!$C$14</f>
        <v>203.92499999999998</v>
      </c>
      <c r="F33" s="1416">
        <v>139799.97</v>
      </c>
      <c r="G33" s="1417">
        <v>95.89</v>
      </c>
      <c r="H33" s="1419">
        <v>331.81098137210358</v>
      </c>
      <c r="I33" s="556">
        <f>ROUND(($D$33*$F$33*6/1000),1)</f>
        <v>58.7</v>
      </c>
      <c r="J33" s="556">
        <f>ROUND(($E$33*$G$33/1000),1)</f>
        <v>19.600000000000001</v>
      </c>
      <c r="K33" s="557">
        <f>I33+J33</f>
        <v>78.300000000000011</v>
      </c>
      <c r="L33" s="465"/>
      <c r="M33" s="465"/>
      <c r="N33" s="603">
        <f>E33*H33/1000</f>
        <v>67.664554376306214</v>
      </c>
    </row>
    <row r="34" spans="1:15" ht="22.5" customHeight="1">
      <c r="A34" s="1420">
        <v>3</v>
      </c>
      <c r="B34" s="363" t="s">
        <v>1277</v>
      </c>
      <c r="C34" s="1383">
        <f>E34/D34</f>
        <v>3888.3663969128174</v>
      </c>
      <c r="D34" s="1489">
        <f>'2012'!D34</f>
        <v>2.87</v>
      </c>
      <c r="E34" s="1485">
        <f>$E$24+$E$38+$E$39+$E$32+$E$35+$E$42-$E$33</f>
        <v>11159.611559139787</v>
      </c>
      <c r="F34" s="1416">
        <v>283891.76</v>
      </c>
      <c r="G34" s="1417">
        <v>46.69</v>
      </c>
      <c r="H34" s="1419">
        <v>492.77467676721807</v>
      </c>
      <c r="I34" s="556">
        <f>ROUND(($D$34*$F$34*6/1000),1)</f>
        <v>4888.6000000000004</v>
      </c>
      <c r="J34" s="556">
        <f>ROUND(($E$34*$G$34/1000),1)</f>
        <v>521</v>
      </c>
      <c r="K34" s="557">
        <f>I34+J34</f>
        <v>5409.6</v>
      </c>
      <c r="L34" s="465"/>
      <c r="M34" s="465"/>
      <c r="N34" s="603">
        <f>E34*H34/1000</f>
        <v>5499.1739789028188</v>
      </c>
    </row>
    <row r="35" spans="1:15" ht="22.5" customHeight="1" thickBot="1">
      <c r="A35" s="339">
        <v>4</v>
      </c>
      <c r="B35" s="280" t="s">
        <v>1274</v>
      </c>
      <c r="C35" s="626">
        <f>E35/D35</f>
        <v>4326.6111111111113</v>
      </c>
      <c r="D35" s="1417">
        <f>'2012'!D35</f>
        <v>0.09</v>
      </c>
      <c r="E35" s="1282">
        <f>'[15]П1.30 - 2012г.2полугод '!$C$24</f>
        <v>389.39500000000004</v>
      </c>
      <c r="F35" s="1416">
        <v>6820.2</v>
      </c>
      <c r="G35" s="1417">
        <v>1.61</v>
      </c>
      <c r="H35" s="1419">
        <v>10.967015040986782</v>
      </c>
      <c r="I35" s="556">
        <f>ROUND(($D$35*$F$35*6/1000),1)</f>
        <v>3.7</v>
      </c>
      <c r="J35" s="556">
        <f>ROUND(($E$35*$G$35/1000),1)</f>
        <v>0.6</v>
      </c>
      <c r="K35" s="557">
        <f>I35+J35</f>
        <v>4.3</v>
      </c>
      <c r="L35" s="465"/>
      <c r="M35" s="465"/>
      <c r="N35" s="603">
        <f>E35*H35/1000</f>
        <v>4.2705008218850482</v>
      </c>
    </row>
    <row r="36" spans="1:15" ht="46.8">
      <c r="A36" s="1421" t="s">
        <v>422</v>
      </c>
      <c r="B36" s="1422" t="s">
        <v>1230</v>
      </c>
      <c r="C36" s="1423"/>
      <c r="D36" s="1488"/>
      <c r="E36" s="1425"/>
      <c r="F36" s="1426" t="s">
        <v>420</v>
      </c>
      <c r="G36" s="1427" t="s">
        <v>90</v>
      </c>
      <c r="H36" s="1428" t="s">
        <v>90</v>
      </c>
      <c r="I36" s="1429">
        <f>SUM(I37:I39)</f>
        <v>1313.5799634</v>
      </c>
      <c r="J36" s="1430">
        <f>SUM(J37:J39)</f>
        <v>674.92</v>
      </c>
      <c r="K36" s="1431">
        <f>SUM(K37:K39)</f>
        <v>1988.4999634000001</v>
      </c>
      <c r="L36" s="1432">
        <f>SUM(L38:L39)</f>
        <v>0</v>
      </c>
      <c r="M36" s="1433">
        <f>SUM(M38:M39)</f>
        <v>0</v>
      </c>
      <c r="N36" s="1431">
        <f>SUM(N37:N39)</f>
        <v>2034.4065699019827</v>
      </c>
    </row>
    <row r="37" spans="1:15" hidden="1">
      <c r="A37" s="339">
        <v>1</v>
      </c>
      <c r="B37" s="280" t="s">
        <v>1263</v>
      </c>
      <c r="C37" s="626">
        <f>E37/D37</f>
        <v>3901.9620836153103</v>
      </c>
      <c r="D37" s="1484">
        <f>$D$24+$D$38+$D$39+$D$32+$D$35+$G$42-$D$33</f>
        <v>2.86</v>
      </c>
      <c r="E37" s="1304">
        <f>$E$24+$E$38+$E$39+$E$32+$E$35+$E$42-$E$33</f>
        <v>11159.611559139787</v>
      </c>
      <c r="F37" s="616"/>
      <c r="G37" s="617"/>
      <c r="H37" s="1434">
        <v>0</v>
      </c>
      <c r="I37" s="1406">
        <f>$D$37*$F$37*12/1000</f>
        <v>0</v>
      </c>
      <c r="J37" s="1407">
        <f>$E$37*$G$37/1000</f>
        <v>0</v>
      </c>
      <c r="K37" s="1408">
        <f>I37+J37</f>
        <v>0</v>
      </c>
      <c r="L37" s="1409"/>
      <c r="M37" s="1407"/>
      <c r="N37" s="1408">
        <f>E37*H37/1000</f>
        <v>0</v>
      </c>
    </row>
    <row r="38" spans="1:15" ht="16.2">
      <c r="A38" s="339">
        <v>1</v>
      </c>
      <c r="B38" s="280" t="s">
        <v>1275</v>
      </c>
      <c r="C38" s="626">
        <f>E38/D38</f>
        <v>4495.4128440366967</v>
      </c>
      <c r="D38" s="1489">
        <f>'2012'!D38</f>
        <v>1.0900000000000001</v>
      </c>
      <c r="E38" s="1384">
        <f>'[15]П1.30 - 2012г.2полугод '!$C$22</f>
        <v>4900</v>
      </c>
      <c r="F38" s="325">
        <v>181738.41</v>
      </c>
      <c r="G38" s="326">
        <v>125.28</v>
      </c>
      <c r="H38" s="1415">
        <v>377.63014891719746</v>
      </c>
      <c r="I38" s="1406">
        <f>$D38*$F38*6/1000</f>
        <v>1188.5692014000001</v>
      </c>
      <c r="J38" s="1407">
        <f>$E38*$G38/1000</f>
        <v>613.87199999999996</v>
      </c>
      <c r="K38" s="1408">
        <f>I38+J38</f>
        <v>1802.4412014</v>
      </c>
      <c r="L38" s="1409"/>
      <c r="M38" s="1407"/>
      <c r="N38" s="1408">
        <f>E38*H38/1000</f>
        <v>1850.3877296942676</v>
      </c>
    </row>
    <row r="39" spans="1:15" ht="32.25" customHeight="1" thickBot="1">
      <c r="A39" s="340">
        <v>2</v>
      </c>
      <c r="B39" s="1385" t="s">
        <v>1272</v>
      </c>
      <c r="C39" s="627">
        <f>E39/D39</f>
        <v>3250</v>
      </c>
      <c r="D39" s="1490">
        <f>'2012'!D39</f>
        <v>0.1</v>
      </c>
      <c r="E39" s="607">
        <f>'[15]П1.30 - 2012г.2полугод '!$C$26</f>
        <v>325</v>
      </c>
      <c r="F39" s="405">
        <v>208351.27</v>
      </c>
      <c r="G39" s="406">
        <v>187.84</v>
      </c>
      <c r="H39" s="1414">
        <v>566.21181602373883</v>
      </c>
      <c r="I39" s="1410">
        <f>$D$39*$F$39*6/1000</f>
        <v>125.010762</v>
      </c>
      <c r="J39" s="1411">
        <f>$E$39*$G$39/1000</f>
        <v>61.048000000000002</v>
      </c>
      <c r="K39" s="1412">
        <f>I39+J39</f>
        <v>186.058762</v>
      </c>
      <c r="L39" s="624"/>
      <c r="M39" s="625"/>
      <c r="N39" s="1413">
        <f>E39*H39/1000</f>
        <v>184.0188402077151</v>
      </c>
    </row>
    <row r="40" spans="1:15" hidden="1">
      <c r="F40" s="94"/>
      <c r="G40" s="94"/>
      <c r="H40" s="94"/>
      <c r="L40" s="17"/>
      <c r="M40" s="17"/>
      <c r="N40" s="17"/>
    </row>
    <row r="41" spans="1:15">
      <c r="B41" s="52" t="s">
        <v>352</v>
      </c>
      <c r="C41" s="52"/>
      <c r="L41" s="17"/>
      <c r="M41" s="17"/>
      <c r="N41" s="17"/>
    </row>
    <row r="42" spans="1:15">
      <c r="D42" s="52" t="s">
        <v>1234</v>
      </c>
      <c r="E42" s="867">
        <f>(E24+E32+E35+E38+E39)/(1-7/100)*7/100</f>
        <v>795.44755913978497</v>
      </c>
      <c r="F42" s="17" t="s">
        <v>423</v>
      </c>
      <c r="G42" s="17">
        <v>0.21</v>
      </c>
      <c r="H42" s="1483">
        <f>E42/(E34+E33)</f>
        <v>6.9999999999999993E-2</v>
      </c>
      <c r="L42" s="17"/>
      <c r="M42" s="17"/>
      <c r="N42" s="17"/>
    </row>
    <row r="43" spans="1:15">
      <c r="D43" s="52" t="s">
        <v>424</v>
      </c>
      <c r="E43" s="1482">
        <f>2216.76/1566.09*1000</f>
        <v>1415.4742064632301</v>
      </c>
      <c r="F43" s="17" t="s">
        <v>425</v>
      </c>
      <c r="L43" s="17"/>
      <c r="M43" s="17"/>
      <c r="N43" s="17"/>
    </row>
    <row r="44" spans="1:15" hidden="1"/>
    <row r="45" spans="1:15" hidden="1">
      <c r="E45" s="17" t="s">
        <v>425</v>
      </c>
      <c r="G45" s="410" t="s">
        <v>722</v>
      </c>
      <c r="H45" s="410"/>
      <c r="I45" s="410"/>
      <c r="J45" s="410"/>
      <c r="K45" s="410"/>
    </row>
    <row r="46" spans="1:15" hidden="1">
      <c r="E46" s="417"/>
      <c r="F46" s="416"/>
      <c r="G46" s="411" t="s">
        <v>419</v>
      </c>
      <c r="H46" s="411"/>
      <c r="I46" s="411"/>
      <c r="J46" s="415" t="s">
        <v>606</v>
      </c>
      <c r="K46" s="415"/>
      <c r="L46" s="17"/>
      <c r="M46" s="17"/>
      <c r="N46" s="17"/>
      <c r="O46" s="342"/>
    </row>
    <row r="47" spans="1:15" ht="27" hidden="1">
      <c r="E47" s="417"/>
      <c r="F47" s="416"/>
      <c r="G47" s="412" t="s">
        <v>420</v>
      </c>
      <c r="H47" s="412" t="s">
        <v>90</v>
      </c>
      <c r="I47" s="413" t="s">
        <v>605</v>
      </c>
      <c r="J47" s="410"/>
      <c r="K47" s="410"/>
      <c r="L47" s="17"/>
      <c r="M47" s="17"/>
      <c r="N47" s="17"/>
      <c r="O47" s="343"/>
    </row>
    <row r="48" spans="1:15" hidden="1">
      <c r="E48" s="417"/>
      <c r="F48" s="416"/>
      <c r="G48" s="148"/>
      <c r="H48" s="148"/>
      <c r="I48" s="148"/>
      <c r="J48" s="410"/>
      <c r="K48" s="410"/>
      <c r="L48" s="17"/>
      <c r="M48" s="17"/>
      <c r="N48" s="17"/>
      <c r="O48" s="342"/>
    </row>
    <row r="49" spans="2:14" hidden="1">
      <c r="E49" s="417"/>
      <c r="F49" s="416" t="s">
        <v>723</v>
      </c>
      <c r="G49" s="148"/>
      <c r="H49" s="148"/>
      <c r="I49" s="148"/>
      <c r="J49" s="410"/>
      <c r="K49" s="410"/>
    </row>
    <row r="50" spans="2:14" hidden="1">
      <c r="E50" s="417"/>
      <c r="F50" s="416" t="s">
        <v>421</v>
      </c>
      <c r="G50" s="414"/>
      <c r="H50" s="414"/>
      <c r="I50" s="414"/>
      <c r="J50" s="410"/>
      <c r="K50" s="414"/>
    </row>
    <row r="51" spans="2:14" hidden="1">
      <c r="E51" s="417"/>
      <c r="F51" s="416" t="s">
        <v>447</v>
      </c>
      <c r="G51" s="414"/>
      <c r="H51" s="414"/>
      <c r="I51" s="414"/>
      <c r="J51" s="410"/>
      <c r="K51" s="414"/>
    </row>
    <row r="52" spans="2:14" hidden="1">
      <c r="E52" s="417"/>
      <c r="F52" s="416" t="s">
        <v>720</v>
      </c>
      <c r="G52" s="414"/>
      <c r="H52" s="414"/>
      <c r="I52" s="414"/>
      <c r="J52" s="410"/>
      <c r="K52" s="414"/>
    </row>
    <row r="53" spans="2:14" hidden="1">
      <c r="E53" s="417"/>
      <c r="F53" s="416" t="s">
        <v>248</v>
      </c>
      <c r="G53" s="414"/>
      <c r="H53" s="414"/>
      <c r="I53" s="414"/>
      <c r="J53" s="410"/>
      <c r="K53" s="414"/>
    </row>
    <row r="54" spans="2:14" hidden="1"/>
    <row r="55" spans="2:14" hidden="1"/>
    <row r="56" spans="2:14" hidden="1">
      <c r="K56" s="94"/>
      <c r="L56" s="17"/>
      <c r="M56" s="17"/>
      <c r="N56" s="17"/>
    </row>
    <row r="57" spans="2:14" hidden="1"/>
    <row r="58" spans="2:14" hidden="1"/>
    <row r="59" spans="2:14" ht="12.75" customHeight="1">
      <c r="B59" s="6" t="s">
        <v>1271</v>
      </c>
      <c r="C59" s="6"/>
      <c r="D59" s="6"/>
      <c r="E59" s="6"/>
      <c r="F59" s="6"/>
      <c r="G59" s="123"/>
      <c r="H59" s="124"/>
    </row>
    <row r="60" spans="2:14">
      <c r="B60" s="3025" t="s">
        <v>337</v>
      </c>
      <c r="C60" s="8"/>
      <c r="D60" s="8"/>
      <c r="E60" s="3038" t="s">
        <v>338</v>
      </c>
      <c r="F60" s="23" t="s">
        <v>339</v>
      </c>
      <c r="G60" s="3025" t="s">
        <v>340</v>
      </c>
      <c r="H60" s="6"/>
    </row>
    <row r="61" spans="2:14" ht="66.599999999999994">
      <c r="B61" s="3037"/>
      <c r="C61" s="15"/>
      <c r="D61" s="15"/>
      <c r="E61" s="3039"/>
      <c r="F61" s="23" t="s">
        <v>341</v>
      </c>
      <c r="G61" s="3026"/>
      <c r="H61" s="6"/>
    </row>
    <row r="62" spans="2:14" ht="16.8">
      <c r="B62" s="3037"/>
      <c r="C62" s="15"/>
      <c r="D62" s="15"/>
      <c r="E62" s="98" t="s">
        <v>342</v>
      </c>
      <c r="F62" s="98" t="s">
        <v>343</v>
      </c>
      <c r="G62" s="13"/>
      <c r="H62" s="124" t="s">
        <v>336</v>
      </c>
    </row>
    <row r="63" spans="2:14" ht="15.75" customHeight="1">
      <c r="B63" s="3026"/>
      <c r="C63" s="10"/>
      <c r="D63" s="10"/>
      <c r="E63" s="13" t="s">
        <v>99</v>
      </c>
      <c r="F63" s="13" t="s">
        <v>344</v>
      </c>
      <c r="G63" s="13" t="s">
        <v>344</v>
      </c>
      <c r="H63" s="123"/>
    </row>
    <row r="64" spans="2:14">
      <c r="B64" s="13" t="s">
        <v>292</v>
      </c>
      <c r="C64" s="583"/>
      <c r="D64" s="583"/>
      <c r="E64" s="224">
        <f>'1 И 2 ПОЛУГОДИЕ 2012'!B64</f>
        <v>397387.35</v>
      </c>
      <c r="F64" s="224">
        <f>'1 И 2 ПОЛУГОДИЕ 2012'!D64</f>
        <v>158.29</v>
      </c>
      <c r="G64" s="224">
        <f>'1 И 2 ПОЛУГОДИЕ 2012'!F64</f>
        <v>690.41</v>
      </c>
      <c r="H64" s="585">
        <f>(E64*12/(G64-F64))</f>
        <v>8961.6030218747637</v>
      </c>
    </row>
    <row r="65" spans="2:8">
      <c r="B65" s="13" t="s">
        <v>276</v>
      </c>
      <c r="C65" s="13"/>
      <c r="D65" s="1308"/>
      <c r="E65" s="224">
        <f>'1 И 2 ПОЛУГОДИЕ 2012'!B65</f>
        <v>740597.33</v>
      </c>
      <c r="F65" s="224">
        <f>'1 И 2 ПОЛУГОДИЕ 2012'!D65</f>
        <v>168.14</v>
      </c>
      <c r="G65" s="224">
        <f>'1 И 2 ПОЛУГОДИЕ 2012'!F65</f>
        <v>1174.03</v>
      </c>
      <c r="H65" s="123">
        <f>(E65*12/(G65-F65))</f>
        <v>8835.1290498961116</v>
      </c>
    </row>
    <row r="66" spans="2:8">
      <c r="B66" s="23" t="s">
        <v>348</v>
      </c>
      <c r="C66" s="23"/>
      <c r="D66" s="1370"/>
      <c r="E66" s="224">
        <f>'1 И 2 ПОЛУГОДИЕ 2012'!B66</f>
        <v>1021368.45</v>
      </c>
      <c r="F66" s="224">
        <f>'1 И 2 ПОЛУГОДИЕ 2012'!D66</f>
        <v>432.48</v>
      </c>
      <c r="G66" s="224">
        <f>'1 И 2 ПОЛУГОДИЕ 2012'!F66</f>
        <v>1817.25</v>
      </c>
      <c r="H66" s="123">
        <f>(E66*12/(G66-F66))</f>
        <v>8850.8715526766173</v>
      </c>
    </row>
    <row r="67" spans="2:8">
      <c r="B67" s="13" t="s">
        <v>280</v>
      </c>
      <c r="C67" s="583"/>
      <c r="D67" s="583"/>
      <c r="E67" s="224">
        <f>'1 И 2 ПОЛУГОДИЕ 2012'!B67</f>
        <v>1766107.62</v>
      </c>
      <c r="F67" s="224">
        <f>'1 И 2 ПОЛУГОДИЕ 2012'!D67</f>
        <v>495.34</v>
      </c>
      <c r="G67" s="224">
        <f>'1 И 2 ПОЛУГОДИЕ 2012'!F67</f>
        <v>2688.41</v>
      </c>
      <c r="H67" s="585">
        <f>(E67*12/(G67-F67))</f>
        <v>9663.75511953563</v>
      </c>
    </row>
    <row r="68" spans="2:8">
      <c r="B68" s="374" t="s">
        <v>449</v>
      </c>
      <c r="C68" s="374"/>
      <c r="D68" s="1371"/>
      <c r="E68" s="224"/>
      <c r="F68" s="224"/>
      <c r="G68" s="224">
        <f>'1 И 2 ПОЛУГОДИЕ 2012'!F68</f>
        <v>422.2</v>
      </c>
      <c r="H68" s="229">
        <f>(E68*12/(G68-F68))</f>
        <v>0</v>
      </c>
    </row>
    <row r="69" spans="2:8">
      <c r="B69" s="55"/>
      <c r="C69" s="55"/>
      <c r="D69" s="55"/>
      <c r="E69" s="55"/>
      <c r="F69" s="55"/>
      <c r="G69" s="55"/>
      <c r="H69" s="55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60:G61"/>
    <mergeCell ref="A22:A23"/>
    <mergeCell ref="B22:E23"/>
    <mergeCell ref="A30:A31"/>
    <mergeCell ref="B30:B31"/>
    <mergeCell ref="B60:B63"/>
    <mergeCell ref="E60:E6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8">
    <tabColor rgb="FF92D050"/>
  </sheetPr>
  <dimension ref="A1:S70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11.5546875" style="94" customWidth="1"/>
    <col min="14" max="14" width="12.5546875" style="94" bestFit="1" customWidth="1"/>
    <col min="15" max="15" width="9.109375" style="17"/>
    <col min="16" max="16" width="10.44140625" style="17" customWidth="1"/>
    <col min="17" max="17" width="9.109375" style="17"/>
    <col min="18" max="18" width="9.109375" style="17" customWidth="1"/>
    <col min="19" max="19" width="11.6640625" style="17" customWidth="1"/>
    <col min="20" max="16384" width="9.109375" style="17"/>
  </cols>
  <sheetData>
    <row r="1" spans="1:15">
      <c r="A1" s="57" t="s">
        <v>1255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5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5" ht="16.2" thickBot="1">
      <c r="A3" s="1365" t="s">
        <v>1258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  <c r="O3" s="1460" t="s">
        <v>1283</v>
      </c>
    </row>
    <row r="4" spans="1:15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5" ht="16.2" hidden="1" thickBot="1">
      <c r="B5" s="94"/>
      <c r="C5" s="94"/>
      <c r="D5" s="94"/>
      <c r="E5" s="94"/>
      <c r="H5" s="94"/>
      <c r="I5" s="94"/>
    </row>
    <row r="6" spans="1:15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5" ht="48" hidden="1" customHeight="1">
      <c r="B7" s="2968"/>
      <c r="C7" s="573"/>
      <c r="D7" s="3041"/>
      <c r="E7" s="3041"/>
      <c r="F7" s="3042"/>
    </row>
    <row r="8" spans="1:15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5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5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5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5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5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5" ht="16.2" hidden="1" thickBot="1">
      <c r="B14" s="47"/>
      <c r="C14" s="47"/>
      <c r="D14" s="241"/>
      <c r="E14" s="241"/>
      <c r="F14" s="242"/>
      <c r="G14" s="235"/>
      <c r="H14" s="240"/>
    </row>
    <row r="15" spans="1:15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1300</v>
      </c>
      <c r="J15" s="247"/>
      <c r="K15" s="247"/>
      <c r="L15" s="248"/>
      <c r="M15" s="249"/>
      <c r="N15" s="250"/>
    </row>
    <row r="16" spans="1:15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1265</v>
      </c>
      <c r="J16" s="255"/>
      <c r="K16" s="256"/>
      <c r="L16" s="649" t="s">
        <v>446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463" t="s">
        <v>1285</v>
      </c>
      <c r="S18" s="479"/>
    </row>
    <row r="19" spans="1:19" ht="27.6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1440" t="s">
        <v>1282</v>
      </c>
      <c r="I19" s="1441">
        <f>'1п-е 2012'!I19+'2п-е 2012'!I19</f>
        <v>2744.8</v>
      </c>
      <c r="J19" s="1497">
        <f>E42*E43/1000</f>
        <v>2216.7541098008833</v>
      </c>
      <c r="K19" s="1443">
        <f>ROUND((I19+J19),1)</f>
        <v>4961.6000000000004</v>
      </c>
      <c r="L19" s="1386" t="s">
        <v>1302</v>
      </c>
      <c r="M19" s="1387"/>
      <c r="N19" s="289">
        <f>N23-N31+N36</f>
        <v>4961.440124093675</v>
      </c>
      <c r="O19" s="276">
        <f>$E$42*$E$43/1000</f>
        <v>2216.7541098008833</v>
      </c>
      <c r="P19" s="1448">
        <f>N20-O19</f>
        <v>2752.2814736591163</v>
      </c>
      <c r="Q19" s="1448">
        <f>K20-J19</f>
        <v>5097.7458901991167</v>
      </c>
      <c r="S19" s="1464">
        <f>Q19/P28-1</f>
        <v>1.540236142216024</v>
      </c>
    </row>
    <row r="20" spans="1:19" ht="43.5" customHeight="1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I23+I36-I31</f>
        <v>4244.7000418000007</v>
      </c>
      <c r="J20" s="294">
        <f>ROUND((J23+J36-J31),1)</f>
        <v>3069.8</v>
      </c>
      <c r="K20" s="286">
        <f>ROUND((I20+J20),1)</f>
        <v>7314.5</v>
      </c>
      <c r="L20" s="1386" t="s">
        <v>1268</v>
      </c>
      <c r="M20" s="1387"/>
      <c r="N20" s="1435">
        <f>N23-K31+N36</f>
        <v>4969.0355834599995</v>
      </c>
      <c r="P20" s="1456">
        <f>N20-J20</f>
        <v>1899.2355834599994</v>
      </c>
      <c r="Q20" s="1457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>
        <f>K19-K20</f>
        <v>-2352.8999999999996</v>
      </c>
      <c r="J21" s="304"/>
      <c r="K21" s="305"/>
      <c r="L21" s="306"/>
      <c r="M21" s="307"/>
      <c r="N21" s="308"/>
      <c r="P21" s="1457"/>
      <c r="Q21" s="1457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  <c r="P22" s="1458">
        <v>1583.1356230599986</v>
      </c>
      <c r="Q22" s="1459" t="s">
        <v>1282</v>
      </c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11853.7780554</v>
      </c>
      <c r="J23" s="321">
        <f>SUM(J25:J29)</f>
        <v>2881.6669403000001</v>
      </c>
      <c r="K23" s="322">
        <f>I23+J23</f>
        <v>14735.4449957</v>
      </c>
      <c r="L23" s="295"/>
      <c r="M23" s="211"/>
      <c r="N23" s="322">
        <f>SUM(N25:N29)</f>
        <v>12385.000000000002</v>
      </c>
      <c r="O23" s="1449">
        <f>N23-K23</f>
        <v>-2350.4449956999979</v>
      </c>
      <c r="P23" s="623">
        <f>N19-K20</f>
        <v>-2353.059875906325</v>
      </c>
    </row>
    <row r="24" spans="1:19" ht="27.75" customHeight="1">
      <c r="A24" s="282"/>
      <c r="B24" s="280" t="s">
        <v>414</v>
      </c>
      <c r="C24" s="605" t="s">
        <v>715</v>
      </c>
      <c r="D24" s="1417">
        <f>SUM(D25:D29)</f>
        <v>1.3699999999999999</v>
      </c>
      <c r="E24" s="1283">
        <f>SUM(E25:E29)</f>
        <v>9367.7000000000007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7140.3508771929828</v>
      </c>
      <c r="D25" s="1417">
        <f>'2012'!D25</f>
        <v>0.56999999999999995</v>
      </c>
      <c r="E25" s="1283">
        <f>'1п-е 2012'!E25+'2п-е 2012'!E25</f>
        <v>4070</v>
      </c>
      <c r="F25" s="325"/>
      <c r="G25" s="326"/>
      <c r="H25" s="327"/>
      <c r="I25" s="556">
        <f>'1п-е 2012'!I25+'2п-е 2012'!I25</f>
        <v>2605.6021715999996</v>
      </c>
      <c r="J25" s="556">
        <f>'1п-е 2012'!J25+'2п-е 2012'!J25</f>
        <v>630.14904589999992</v>
      </c>
      <c r="K25" s="557">
        <f>I25+J25</f>
        <v>3235.7512174999993</v>
      </c>
      <c r="L25" s="1286"/>
      <c r="M25" s="556"/>
      <c r="N25" s="557">
        <f>'1п-е 2012'!N25+'2п-е 2012'!N25</f>
        <v>2770.5</v>
      </c>
      <c r="O25" s="1375">
        <f>'2012г.об.под факт2010'!N23-'2012 год'!N23</f>
        <v>3165.7999999999975</v>
      </c>
    </row>
    <row r="26" spans="1:19">
      <c r="A26" s="290"/>
      <c r="B26" s="324" t="s">
        <v>415</v>
      </c>
      <c r="C26" s="1299">
        <f>E26/D26</f>
        <v>6689.333333333333</v>
      </c>
      <c r="D26" s="1417">
        <f>'2012'!D26</f>
        <v>0.75</v>
      </c>
      <c r="E26" s="1283">
        <f>'1п-е 2012'!E26+'2п-е 2012'!E26</f>
        <v>5017</v>
      </c>
      <c r="F26" s="325"/>
      <c r="G26" s="326"/>
      <c r="H26" s="327"/>
      <c r="I26" s="556">
        <f>'1п-е 2012'!I26+'2п-е 2012'!I26</f>
        <v>8839.4255549999998</v>
      </c>
      <c r="J26" s="556">
        <f>'1п-е 2012'!J26+'2п-е 2012'!J26</f>
        <v>2123.8332632000001</v>
      </c>
      <c r="K26" s="557">
        <f>I26+J26</f>
        <v>10963.2588182</v>
      </c>
      <c r="L26" s="1286"/>
      <c r="M26" s="556"/>
      <c r="N26" s="557">
        <f>'1п-е 2012'!N26+'2п-е 2012'!N26</f>
        <v>9191.9</v>
      </c>
      <c r="O26" s="1376" t="s">
        <v>1257</v>
      </c>
    </row>
    <row r="27" spans="1:19" ht="26.4">
      <c r="A27" s="290"/>
      <c r="B27" s="328" t="s">
        <v>1226</v>
      </c>
      <c r="C27" s="1299">
        <f>E27/D27</f>
        <v>6600</v>
      </c>
      <c r="D27" s="1417">
        <f>'2012'!D27</f>
        <v>0.02</v>
      </c>
      <c r="E27" s="1283">
        <f>'1п-е 2012'!E27+'2п-е 2012'!E27</f>
        <v>132</v>
      </c>
      <c r="F27" s="325"/>
      <c r="G27" s="326"/>
      <c r="H27" s="327"/>
      <c r="I27" s="556">
        <f>'1п-е 2012'!I27+'2п-е 2012'!I27</f>
        <v>408.75032880000009</v>
      </c>
      <c r="J27" s="556">
        <f>'1п-е 2012'!J27+'2п-е 2012'!J27</f>
        <v>63.862367999999989</v>
      </c>
      <c r="K27" s="557">
        <f>I27+J27</f>
        <v>472.61269680000009</v>
      </c>
      <c r="L27" s="1286"/>
      <c r="M27" s="556"/>
      <c r="N27" s="557">
        <f>'1п-е 2012'!N27+'2п-е 2012'!N27</f>
        <v>358.7</v>
      </c>
      <c r="P27" s="1461" t="s">
        <v>1284</v>
      </c>
      <c r="Q27" s="1461" t="s">
        <v>249</v>
      </c>
      <c r="R27" s="1461" t="s">
        <v>372</v>
      </c>
    </row>
    <row r="28" spans="1:19" s="391" customFormat="1" ht="28.2">
      <c r="A28" s="290"/>
      <c r="B28" s="328" t="s">
        <v>1225</v>
      </c>
      <c r="C28" s="1299" t="e">
        <f>E28/D28</f>
        <v>#DIV/0!</v>
      </c>
      <c r="D28" s="1417">
        <f>'2012'!D28</f>
        <v>0</v>
      </c>
      <c r="E28" s="1283">
        <f>'1п-е 2012'!E28+'2п-е 2012'!E28</f>
        <v>16.7</v>
      </c>
      <c r="F28" s="325"/>
      <c r="G28" s="326"/>
      <c r="H28" s="327"/>
      <c r="I28" s="556"/>
      <c r="J28" s="556">
        <f>'1п-е 2012'!J28+'2п-е 2012'!J28</f>
        <v>7.1676099999999998</v>
      </c>
      <c r="K28" s="557">
        <f>'1п-е 2012'!K28+'2п-е 2012'!K28</f>
        <v>7.1676099999999998</v>
      </c>
      <c r="L28" s="1286"/>
      <c r="M28" s="556"/>
      <c r="N28" s="557">
        <f>'1п-е 2012'!N28+'2п-е 2012'!N28</f>
        <v>7.1999999999999993</v>
      </c>
      <c r="P28" s="1462">
        <v>2006.8</v>
      </c>
      <c r="Q28" s="1462">
        <v>2623.4</v>
      </c>
      <c r="R28" s="1462">
        <f>SUM(P28:Q28)</f>
        <v>4630.2</v>
      </c>
    </row>
    <row r="29" spans="1:19" s="391" customFormat="1" ht="28.8" thickBot="1">
      <c r="A29" s="401"/>
      <c r="B29" s="328" t="s">
        <v>416</v>
      </c>
      <c r="C29" s="627">
        <f>E29/D29</f>
        <v>4400</v>
      </c>
      <c r="D29" s="1490">
        <f>'2012'!D29</f>
        <v>0.03</v>
      </c>
      <c r="E29" s="330">
        <f>'1п-е 2012'!E29+'2п-е 2012'!E29</f>
        <v>132</v>
      </c>
      <c r="F29" s="405"/>
      <c r="G29" s="406"/>
      <c r="H29" s="407"/>
      <c r="I29" s="1446"/>
      <c r="J29" s="1446">
        <f>'1п-е 2012'!J29+'2п-е 2012'!J29</f>
        <v>56.654653199999998</v>
      </c>
      <c r="K29" s="1447">
        <f>'1п-е 2012'!K29+'2п-е 2012'!K29</f>
        <v>56.654653199999998</v>
      </c>
      <c r="L29" s="331"/>
      <c r="M29" s="1287"/>
      <c r="N29" s="1447">
        <f>'1п-е 2012'!N29+'2п-е 2012'!N29</f>
        <v>56.7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144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450">
        <f>SUM(I32:I35)</f>
        <v>10236.2379404</v>
      </c>
      <c r="J31" s="1451">
        <f>SUM(J32:J35)</f>
        <v>1118.62924294</v>
      </c>
      <c r="K31" s="1298">
        <f>SUM(K32:K35)</f>
        <v>11354.867183340002</v>
      </c>
      <c r="L31" s="615">
        <f>SUM(L35:L35)</f>
        <v>0</v>
      </c>
      <c r="M31" s="465">
        <f>SUM(M35:M35)</f>
        <v>0</v>
      </c>
      <c r="N31" s="628">
        <f>SUM(N32:N35)</f>
        <v>11362.462642706327</v>
      </c>
      <c r="O31" s="1449">
        <f>N31-K31</f>
        <v>7.595459366324576</v>
      </c>
    </row>
    <row r="32" spans="1:19" ht="22.5" customHeight="1">
      <c r="A32" s="339">
        <v>1</v>
      </c>
      <c r="B32" s="280" t="s">
        <v>1273</v>
      </c>
      <c r="C32" s="626">
        <f>E32/D32</f>
        <v>7593.6857142857134</v>
      </c>
      <c r="D32" s="1417">
        <f>'2012'!D32</f>
        <v>7.0000000000000007E-2</v>
      </c>
      <c r="E32" s="1282">
        <f>'1п-е 2012'!E32+'2п-е 2012'!E32</f>
        <v>531.55799999999999</v>
      </c>
      <c r="F32" s="1416">
        <v>397902.31</v>
      </c>
      <c r="G32" s="1417">
        <v>93.93</v>
      </c>
      <c r="H32" s="1418">
        <v>758.65003295971451</v>
      </c>
      <c r="I32" s="295">
        <f>'1п-е 2012'!I32+'2п-е 2012'!I32</f>
        <v>334.23794040000007</v>
      </c>
      <c r="J32" s="211">
        <f>'1п-е 2012'!J32+'2п-е 2012'!J32</f>
        <v>49.929242940000009</v>
      </c>
      <c r="K32" s="296">
        <f>I32+J32</f>
        <v>384.16718334000007</v>
      </c>
      <c r="L32" s="465"/>
      <c r="M32" s="465"/>
      <c r="N32" s="603">
        <f>'1п-е 2012'!N32+'2п-е 2012'!N32</f>
        <v>403.26480470629099</v>
      </c>
    </row>
    <row r="33" spans="1:18" ht="22.5" customHeight="1">
      <c r="A33" s="1381">
        <v>2</v>
      </c>
      <c r="B33" s="1382" t="s">
        <v>1276</v>
      </c>
      <c r="C33" s="1383">
        <f>E33/D33</f>
        <v>6603.0428571428556</v>
      </c>
      <c r="D33" s="1417">
        <f>'2012'!D33</f>
        <v>7.0000000000000007E-2</v>
      </c>
      <c r="E33" s="1282">
        <f>'1п-е 2012'!E33+'2п-е 2012'!E33</f>
        <v>462.21299999999997</v>
      </c>
      <c r="F33" s="1416">
        <v>139799.97</v>
      </c>
      <c r="G33" s="1417">
        <v>95.89</v>
      </c>
      <c r="H33" s="1419">
        <v>331.81383609359284</v>
      </c>
      <c r="I33" s="295">
        <f>'1п-е 2012'!I33+'2п-е 2012'!I33</f>
        <v>117.4</v>
      </c>
      <c r="J33" s="211">
        <f>'1п-е 2012'!J33+'2п-е 2012'!J33</f>
        <v>44.400000000000006</v>
      </c>
      <c r="K33" s="557">
        <f>I33+J33</f>
        <v>161.80000000000001</v>
      </c>
      <c r="L33" s="465"/>
      <c r="M33" s="465"/>
      <c r="N33" s="603">
        <f>'1п-е 2012'!N33+'2п-е 2012'!N33</f>
        <v>153.36734913294413</v>
      </c>
    </row>
    <row r="34" spans="1:18" ht="22.5" customHeight="1">
      <c r="A34" s="1420">
        <v>3</v>
      </c>
      <c r="B34" s="363" t="s">
        <v>1277</v>
      </c>
      <c r="C34" s="1383">
        <f>E34/D34</f>
        <v>7634.300292233338</v>
      </c>
      <c r="D34" s="1489">
        <f>'2012'!D34</f>
        <v>2.87</v>
      </c>
      <c r="E34" s="1485">
        <f>$E$24+$E$38+$E$39+$E$32+$E$35+$E$42-$E$33</f>
        <v>21910.441838709681</v>
      </c>
      <c r="F34" s="1416">
        <v>283891.76</v>
      </c>
      <c r="G34" s="1417">
        <v>46.69</v>
      </c>
      <c r="H34" s="1419">
        <v>492.76608914715831</v>
      </c>
      <c r="I34" s="295">
        <f>'1п-е 2012'!I34+'2п-е 2012'!I34</f>
        <v>9777.2000000000007</v>
      </c>
      <c r="J34" s="211">
        <f>'1п-е 2012'!J34+'2п-е 2012'!J34</f>
        <v>1023</v>
      </c>
      <c r="K34" s="557">
        <f>I34+J34</f>
        <v>10800.2</v>
      </c>
      <c r="L34" s="465"/>
      <c r="M34" s="465"/>
      <c r="N34" s="603">
        <f>'1п-е 2012'!N34+'2п-е 2012'!N34</f>
        <v>10796.910894897092</v>
      </c>
    </row>
    <row r="35" spans="1:18" ht="22.5" customHeight="1" thickBot="1">
      <c r="A35" s="339">
        <v>4</v>
      </c>
      <c r="B35" s="280" t="s">
        <v>1274</v>
      </c>
      <c r="C35" s="626">
        <f>E35/D35</f>
        <v>9036.7888888888901</v>
      </c>
      <c r="D35" s="1417">
        <f>'2012'!D35</f>
        <v>0.09</v>
      </c>
      <c r="E35" s="1282">
        <f>'1п-е 2012'!E35+'2п-е 2012'!E35</f>
        <v>813.31100000000004</v>
      </c>
      <c r="F35" s="1416">
        <v>6820.2</v>
      </c>
      <c r="G35" s="1417">
        <v>1.61</v>
      </c>
      <c r="H35" s="1419">
        <v>10.972923432733603</v>
      </c>
      <c r="I35" s="295">
        <f>'1п-е 2012'!I35+'2п-е 2012'!I35</f>
        <v>7.4</v>
      </c>
      <c r="J35" s="211">
        <f>'1п-е 2012'!J35+'2п-е 2012'!J35</f>
        <v>1.2999999999999998</v>
      </c>
      <c r="K35" s="557">
        <f>I35+J35</f>
        <v>8.6999999999999993</v>
      </c>
      <c r="L35" s="465"/>
      <c r="M35" s="465"/>
      <c r="N35" s="603">
        <f>'1п-е 2012'!N35+'2п-е 2012'!N35</f>
        <v>8.9195939700000011</v>
      </c>
    </row>
    <row r="36" spans="1:18" ht="46.8">
      <c r="A36" s="1421" t="s">
        <v>422</v>
      </c>
      <c r="B36" s="1422" t="s">
        <v>1230</v>
      </c>
      <c r="C36" s="1423"/>
      <c r="D36" s="1424"/>
      <c r="E36" s="1425"/>
      <c r="F36" s="1426" t="s">
        <v>420</v>
      </c>
      <c r="G36" s="1427" t="s">
        <v>90</v>
      </c>
      <c r="H36" s="1428" t="s">
        <v>90</v>
      </c>
      <c r="I36" s="1429">
        <f>SUM(I37:I39)</f>
        <v>2627.1599268</v>
      </c>
      <c r="J36" s="1430">
        <f>SUM(J37:J39)</f>
        <v>1306.7417600000001</v>
      </c>
      <c r="K36" s="1431">
        <f>SUM(K37:K39)</f>
        <v>3933.9016868000003</v>
      </c>
      <c r="L36" s="1432">
        <f>SUM(L38:L39)</f>
        <v>0</v>
      </c>
      <c r="M36" s="1433">
        <f>SUM(M38:M39)</f>
        <v>0</v>
      </c>
      <c r="N36" s="1431">
        <f>SUM(N37:N39)</f>
        <v>3938.9027668000003</v>
      </c>
      <c r="O36" s="1449">
        <f>N36-K36</f>
        <v>5.0010800000000017</v>
      </c>
    </row>
    <row r="37" spans="1:18" hidden="1">
      <c r="A37" s="339">
        <v>1</v>
      </c>
      <c r="B37" s="280" t="s">
        <v>1263</v>
      </c>
      <c r="C37" s="626">
        <f>E37/D37</f>
        <v>7660.9936498984898</v>
      </c>
      <c r="D37" s="1495">
        <f>$D$24+$D$38+$D$39+$D$32+$D$35+$G$42-$D$33</f>
        <v>2.86</v>
      </c>
      <c r="E37" s="1283">
        <f>$E$24+$E$38+$E$39+$E$32+$E$35+$E$42-$E$33</f>
        <v>21910.441838709681</v>
      </c>
      <c r="F37" s="616"/>
      <c r="G37" s="617"/>
      <c r="H37" s="1434">
        <f>K37/E37*1000</f>
        <v>0</v>
      </c>
      <c r="I37" s="1406">
        <f>$D$37*$F$37*12/1000</f>
        <v>0</v>
      </c>
      <c r="J37" s="1407">
        <f>$E$37*$G$37/1000</f>
        <v>0</v>
      </c>
      <c r="K37" s="1408">
        <f>I37+J37</f>
        <v>0</v>
      </c>
      <c r="L37" s="1409"/>
      <c r="M37" s="1407"/>
      <c r="N37" s="1408">
        <f>E37*H37/1000</f>
        <v>0</v>
      </c>
    </row>
    <row r="38" spans="1:18" ht="16.2">
      <c r="A38" s="339">
        <v>1</v>
      </c>
      <c r="B38" s="280" t="s">
        <v>1275</v>
      </c>
      <c r="C38" s="626">
        <f>E38/D38</f>
        <v>8642.2018348623842</v>
      </c>
      <c r="D38" s="1417">
        <f>'2012'!D38</f>
        <v>1.0900000000000001</v>
      </c>
      <c r="E38" s="606">
        <f>'1п-е 2012'!E38+'2п-е 2012'!E38</f>
        <v>9420</v>
      </c>
      <c r="F38" s="325">
        <v>181738.41</v>
      </c>
      <c r="G38" s="326">
        <v>125.28</v>
      </c>
      <c r="H38" s="1415">
        <v>377.63014891719746</v>
      </c>
      <c r="I38" s="211">
        <f>'1п-е 2012'!I38+'2п-е 2012'!I38</f>
        <v>2377.1384028000002</v>
      </c>
      <c r="J38" s="211">
        <f>'1п-е 2012'!J38+'2п-е 2012'!J38</f>
        <v>1180.1376</v>
      </c>
      <c r="K38" s="1408">
        <f>I38+J38</f>
        <v>3557.2760028000002</v>
      </c>
      <c r="L38" s="1409"/>
      <c r="M38" s="1407"/>
      <c r="N38" s="603">
        <f>'1п-е 2012'!N38+'2п-е 2012'!N38</f>
        <v>3557.2760028000002</v>
      </c>
    </row>
    <row r="39" spans="1:18" ht="32.25" customHeight="1" thickBot="1">
      <c r="A39" s="340">
        <v>2</v>
      </c>
      <c r="B39" s="1385" t="s">
        <v>1272</v>
      </c>
      <c r="C39" s="627">
        <f>E39/D39</f>
        <v>6740</v>
      </c>
      <c r="D39" s="1490">
        <f>'2012'!D39</f>
        <v>0.1</v>
      </c>
      <c r="E39" s="607">
        <f>'1п-е 2012'!E39+'2п-е 2012'!E39</f>
        <v>674</v>
      </c>
      <c r="F39" s="405">
        <v>208351.27</v>
      </c>
      <c r="G39" s="406">
        <v>187.84</v>
      </c>
      <c r="H39" s="1414">
        <v>566.21181602373883</v>
      </c>
      <c r="I39" s="331">
        <f>'1п-е 2012'!I39+'2п-е 2012'!I39</f>
        <v>250.021524</v>
      </c>
      <c r="J39" s="332">
        <f>'1п-е 2012'!J39+'2п-е 2012'!J39</f>
        <v>126.60416000000001</v>
      </c>
      <c r="K39" s="1412">
        <f>I39+J39</f>
        <v>376.62568399999998</v>
      </c>
      <c r="L39" s="624"/>
      <c r="M39" s="625"/>
      <c r="N39" s="1452">
        <f>'1п-е 2012'!N39+'2п-е 2012'!N39</f>
        <v>381.62676399999998</v>
      </c>
    </row>
    <row r="40" spans="1:18" hidden="1">
      <c r="F40" s="94"/>
      <c r="G40" s="94"/>
      <c r="H40" s="94"/>
      <c r="L40" s="17"/>
      <c r="M40" s="17"/>
      <c r="N40" s="17"/>
    </row>
    <row r="41" spans="1:18">
      <c r="B41" s="52" t="s">
        <v>352</v>
      </c>
      <c r="C41" s="52"/>
      <c r="L41" s="17"/>
      <c r="M41" s="17"/>
      <c r="N41" s="17"/>
    </row>
    <row r="42" spans="1:18">
      <c r="D42" s="52" t="s">
        <v>1234</v>
      </c>
      <c r="E42" s="867">
        <f>(E24+E32+E35+E38+E39)/(1-7/100)*7/100</f>
        <v>1566.0858387096775</v>
      </c>
      <c r="F42" s="17" t="s">
        <v>423</v>
      </c>
      <c r="G42" s="17">
        <v>0.21</v>
      </c>
      <c r="H42" s="1483">
        <f>E42/(E34+E33)</f>
        <v>6.9999999999999993E-2</v>
      </c>
      <c r="L42" s="17"/>
      <c r="M42" s="17"/>
      <c r="N42" s="17"/>
    </row>
    <row r="43" spans="1:18">
      <c r="D43" s="52" t="s">
        <v>424</v>
      </c>
      <c r="E43" s="1482">
        <f>2216.76/1566.09*1000</f>
        <v>1415.4742064632301</v>
      </c>
      <c r="F43" s="17" t="s">
        <v>425</v>
      </c>
      <c r="L43" s="17"/>
      <c r="M43" s="17"/>
      <c r="N43" s="17"/>
    </row>
    <row r="44" spans="1:18">
      <c r="D44" s="52"/>
      <c r="E44" s="341"/>
      <c r="P44" s="1474"/>
    </row>
    <row r="45" spans="1:18" ht="12.75" customHeight="1">
      <c r="B45" s="6" t="s">
        <v>1271</v>
      </c>
      <c r="C45" s="6"/>
      <c r="D45" s="6"/>
      <c r="E45" s="6"/>
      <c r="F45" s="6"/>
      <c r="G45" s="123"/>
      <c r="H45" s="124"/>
      <c r="P45" s="105"/>
    </row>
    <row r="46" spans="1:18">
      <c r="B46" s="3025" t="s">
        <v>337</v>
      </c>
      <c r="C46" s="8"/>
      <c r="D46" s="8"/>
      <c r="E46" s="3038" t="s">
        <v>338</v>
      </c>
      <c r="F46" s="23" t="s">
        <v>339</v>
      </c>
      <c r="G46" s="3025" t="s">
        <v>340</v>
      </c>
      <c r="H46" s="6"/>
      <c r="P46" s="1474"/>
    </row>
    <row r="47" spans="1:18" ht="66.599999999999994">
      <c r="B47" s="3037"/>
      <c r="C47" s="15"/>
      <c r="D47" s="15"/>
      <c r="E47" s="3039"/>
      <c r="F47" s="23" t="s">
        <v>341</v>
      </c>
      <c r="G47" s="3026"/>
      <c r="H47" s="6"/>
      <c r="P47" s="1476"/>
      <c r="Q47" s="94"/>
      <c r="R47" s="94"/>
    </row>
    <row r="48" spans="1:18" ht="16.8">
      <c r="B48" s="3037"/>
      <c r="C48" s="15"/>
      <c r="D48" s="15"/>
      <c r="E48" s="98" t="s">
        <v>342</v>
      </c>
      <c r="F48" s="98" t="s">
        <v>343</v>
      </c>
      <c r="G48" s="13"/>
      <c r="H48" s="124" t="s">
        <v>336</v>
      </c>
      <c r="P48" s="1476"/>
      <c r="Q48" s="1466"/>
      <c r="R48" s="1466"/>
    </row>
    <row r="49" spans="2:18" ht="15.75" customHeight="1">
      <c r="B49" s="3026"/>
      <c r="C49" s="10"/>
      <c r="D49" s="10"/>
      <c r="E49" s="13" t="s">
        <v>99</v>
      </c>
      <c r="F49" s="13" t="s">
        <v>344</v>
      </c>
      <c r="G49" s="13" t="s">
        <v>344</v>
      </c>
      <c r="H49" s="123"/>
      <c r="P49" s="1476"/>
      <c r="Q49" s="94"/>
      <c r="R49" s="94"/>
    </row>
    <row r="50" spans="2:18">
      <c r="B50" s="13" t="s">
        <v>292</v>
      </c>
      <c r="C50" s="583"/>
      <c r="D50" s="583"/>
      <c r="E50" s="224">
        <f>'1 И 2 ПОЛУГОДИЕ 2012'!B64</f>
        <v>397387.35</v>
      </c>
      <c r="F50" s="224">
        <f>'1 И 2 ПОЛУГОДИЕ 2012'!D64</f>
        <v>158.29</v>
      </c>
      <c r="G50" s="224">
        <f>'1 И 2 ПОЛУГОДИЕ 2012'!F64</f>
        <v>690.41</v>
      </c>
      <c r="H50" s="585">
        <f>(E50*12/(G50-F50))</f>
        <v>8961.6030218747637</v>
      </c>
      <c r="P50" s="105"/>
    </row>
    <row r="51" spans="2:18">
      <c r="B51" s="13" t="s">
        <v>276</v>
      </c>
      <c r="C51" s="13"/>
      <c r="D51" s="1308"/>
      <c r="E51" s="224">
        <f>'1 И 2 ПОЛУГОДИЕ 2012'!B65</f>
        <v>740597.33</v>
      </c>
      <c r="F51" s="224">
        <f>'1 И 2 ПОЛУГОДИЕ 2012'!D65</f>
        <v>168.14</v>
      </c>
      <c r="G51" s="224">
        <f>'1 И 2 ПОЛУГОДИЕ 2012'!F65</f>
        <v>1174.03</v>
      </c>
      <c r="H51" s="123">
        <f>(E51*12/(G51-F51))</f>
        <v>8835.1290498961116</v>
      </c>
      <c r="P51" s="105"/>
    </row>
    <row r="52" spans="2:18" ht="12.75" customHeight="1">
      <c r="B52" s="23" t="s">
        <v>348</v>
      </c>
      <c r="C52" s="23"/>
      <c r="D52" s="1370"/>
      <c r="E52" s="224">
        <f>'1 И 2 ПОЛУГОДИЕ 2012'!B66</f>
        <v>1021368.45</v>
      </c>
      <c r="F52" s="224">
        <f>'1 И 2 ПОЛУГОДИЕ 2012'!D66</f>
        <v>432.48</v>
      </c>
      <c r="G52" s="224">
        <f>'1 И 2 ПОЛУГОДИЕ 2012'!F66</f>
        <v>1817.25</v>
      </c>
      <c r="H52" s="123">
        <f>(E52*12/(G52-F52))</f>
        <v>8850.8715526766173</v>
      </c>
      <c r="P52" s="105"/>
    </row>
    <row r="53" spans="2:18" ht="12.75" customHeight="1">
      <c r="B53" s="13" t="s">
        <v>280</v>
      </c>
      <c r="C53" s="583"/>
      <c r="D53" s="583"/>
      <c r="E53" s="224">
        <f>'1 И 2 ПОЛУГОДИЕ 2012'!B67</f>
        <v>1766107.62</v>
      </c>
      <c r="F53" s="224">
        <f>'1 И 2 ПОЛУГОДИЕ 2012'!D67</f>
        <v>495.34</v>
      </c>
      <c r="G53" s="224">
        <f>'1 И 2 ПОЛУГОДИЕ 2012'!F67</f>
        <v>2688.41</v>
      </c>
      <c r="H53" s="585">
        <f>(E53*12/(G53-F53))</f>
        <v>9663.75511953563</v>
      </c>
      <c r="P53" s="105"/>
    </row>
    <row r="54" spans="2:18" ht="12.75" customHeight="1">
      <c r="B54" s="374" t="s">
        <v>449</v>
      </c>
      <c r="C54" s="374"/>
      <c r="D54" s="1371"/>
      <c r="E54" s="224"/>
      <c r="F54" s="224"/>
      <c r="G54" s="224">
        <f>'1 И 2 ПОЛУГОДИЕ 2012'!F68</f>
        <v>422.2</v>
      </c>
      <c r="H54" s="229">
        <f>(E54*12/(G54-F54))</f>
        <v>0</v>
      </c>
      <c r="P54" s="105"/>
    </row>
    <row r="55" spans="2:18">
      <c r="B55" s="55"/>
      <c r="C55" s="55"/>
      <c r="D55" s="55"/>
      <c r="E55" s="55"/>
      <c r="F55" s="55"/>
      <c r="G55" s="55"/>
      <c r="H55" s="55"/>
      <c r="P55" s="42"/>
    </row>
    <row r="56" spans="2:18">
      <c r="K56" s="1376" t="s">
        <v>1291</v>
      </c>
      <c r="L56" s="1112"/>
      <c r="M56" s="1112"/>
      <c r="N56" s="1112"/>
      <c r="O56" s="1112"/>
    </row>
    <row r="57" spans="2:18">
      <c r="K57" s="1465" t="s">
        <v>1292</v>
      </c>
      <c r="L57" s="1465"/>
      <c r="M57" s="1465"/>
      <c r="N57" s="1465"/>
    </row>
    <row r="58" spans="2:18">
      <c r="K58" s="1465" t="s">
        <v>1296</v>
      </c>
      <c r="L58" s="1465"/>
      <c r="M58" s="1465"/>
      <c r="N58" s="1465"/>
      <c r="O58" s="1474"/>
    </row>
    <row r="59" spans="2:18">
      <c r="K59" s="1467" t="s">
        <v>1289</v>
      </c>
      <c r="L59" s="1468" t="s">
        <v>1287</v>
      </c>
      <c r="M59" s="1469"/>
      <c r="N59" s="1470" t="s">
        <v>1288</v>
      </c>
      <c r="O59" s="105"/>
    </row>
    <row r="60" spans="2:18">
      <c r="K60" s="1471" t="s">
        <v>1286</v>
      </c>
      <c r="L60" s="1472">
        <v>3557.2760028000002</v>
      </c>
      <c r="M60" s="1471"/>
      <c r="N60" s="1472">
        <v>8082.2</v>
      </c>
      <c r="O60" s="105"/>
    </row>
    <row r="61" spans="2:18">
      <c r="K61" s="1471" t="s">
        <v>446</v>
      </c>
      <c r="L61" s="1472">
        <v>3557.2760028000002</v>
      </c>
      <c r="M61" s="1471"/>
      <c r="N61" s="1472">
        <v>7599.1</v>
      </c>
      <c r="O61" s="1475"/>
    </row>
    <row r="62" spans="2:18">
      <c r="K62" s="1471" t="s">
        <v>1290</v>
      </c>
      <c r="L62" s="1473">
        <f>L61-L60</f>
        <v>0</v>
      </c>
      <c r="M62" s="1471"/>
      <c r="N62" s="1472">
        <f>N61-N60</f>
        <v>-483.09999999999945</v>
      </c>
      <c r="O62" s="1475"/>
    </row>
    <row r="63" spans="2:18">
      <c r="K63" s="1477"/>
      <c r="L63" s="1479" t="s">
        <v>1295</v>
      </c>
      <c r="M63" s="1480"/>
      <c r="N63" s="1478"/>
      <c r="O63" s="1475"/>
    </row>
    <row r="64" spans="2:18">
      <c r="K64" s="1465" t="s">
        <v>1293</v>
      </c>
      <c r="L64" s="1465"/>
      <c r="M64" s="1465"/>
      <c r="N64" s="1465"/>
      <c r="O64" s="105"/>
    </row>
    <row r="65" spans="11:15">
      <c r="K65" s="1465" t="s">
        <v>1297</v>
      </c>
      <c r="L65" s="1465"/>
      <c r="M65" s="1465"/>
      <c r="N65" s="1465"/>
      <c r="O65" s="105"/>
    </row>
    <row r="66" spans="11:15">
      <c r="K66" s="1467" t="s">
        <v>1289</v>
      </c>
      <c r="L66" s="1468" t="s">
        <v>1294</v>
      </c>
      <c r="M66" s="1469"/>
      <c r="N66" s="1470" t="s">
        <v>1303</v>
      </c>
      <c r="O66" s="105"/>
    </row>
    <row r="67" spans="11:15">
      <c r="K67" s="1471" t="s">
        <v>1286</v>
      </c>
      <c r="L67" s="1472">
        <v>11208.9</v>
      </c>
      <c r="M67" s="1471"/>
      <c r="N67" s="1472">
        <v>16639.8</v>
      </c>
      <c r="O67" s="105"/>
    </row>
    <row r="68" spans="11:15">
      <c r="K68" s="1471" t="s">
        <v>446</v>
      </c>
      <c r="L68" s="1472">
        <v>11211.3</v>
      </c>
      <c r="M68" s="1471"/>
      <c r="N68" s="1472">
        <v>16468.099999999999</v>
      </c>
      <c r="O68" s="105"/>
    </row>
    <row r="69" spans="11:15">
      <c r="K69" s="1471" t="s">
        <v>1290</v>
      </c>
      <c r="L69" s="1473">
        <f>L68-L67</f>
        <v>2.3999999999996362</v>
      </c>
      <c r="M69" s="1471"/>
      <c r="N69" s="1472">
        <f>N68-N67</f>
        <v>-171.70000000000073</v>
      </c>
      <c r="O69" s="42"/>
    </row>
    <row r="70" spans="11:15">
      <c r="K70" s="1477"/>
      <c r="L70" s="1479" t="s">
        <v>1295</v>
      </c>
      <c r="M70" s="1480"/>
      <c r="N70" s="1478"/>
    </row>
  </sheetData>
  <mergeCells count="14">
    <mergeCell ref="B6:B9"/>
    <mergeCell ref="D6:D7"/>
    <mergeCell ref="E6:E7"/>
    <mergeCell ref="F6:F7"/>
    <mergeCell ref="A15:A17"/>
    <mergeCell ref="B15:B17"/>
    <mergeCell ref="D15:E16"/>
    <mergeCell ref="G46:G47"/>
    <mergeCell ref="A22:A23"/>
    <mergeCell ref="B22:E23"/>
    <mergeCell ref="A30:A31"/>
    <mergeCell ref="B30:B31"/>
    <mergeCell ref="B46:B49"/>
    <mergeCell ref="E46:E47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9"/>
  <dimension ref="A1:L62"/>
  <sheetViews>
    <sheetView zoomScaleNormal="100" zoomScaleSheetLayoutView="75" workbookViewId="0">
      <selection activeCell="K8" sqref="K8"/>
    </sheetView>
  </sheetViews>
  <sheetFormatPr defaultRowHeight="13.2"/>
  <cols>
    <col min="1" max="1" width="17.88671875" style="421" customWidth="1"/>
    <col min="2" max="2" width="52.5546875" style="421" customWidth="1"/>
    <col min="3" max="3" width="12.5546875" style="421" customWidth="1"/>
    <col min="4" max="4" width="20.44140625" style="421" customWidth="1"/>
    <col min="5" max="5" width="19.44140625" style="421" customWidth="1"/>
    <col min="6" max="6" width="9.109375" style="1498"/>
  </cols>
  <sheetData>
    <row r="1" spans="1:11" ht="24.75" customHeight="1">
      <c r="E1" s="789" t="s">
        <v>770</v>
      </c>
    </row>
    <row r="2" spans="1:11" ht="15.75" customHeight="1">
      <c r="A2" s="2909" t="s">
        <v>727</v>
      </c>
      <c r="B2" s="2909"/>
      <c r="C2" s="2909"/>
      <c r="D2" s="2909"/>
      <c r="E2" s="2909"/>
    </row>
    <row r="3" spans="1:11" ht="7.5" customHeight="1">
      <c r="A3" s="2909"/>
      <c r="B3" s="2909"/>
      <c r="C3" s="2909"/>
      <c r="D3" s="2909"/>
      <c r="E3" s="2909"/>
    </row>
    <row r="4" spans="1:11" ht="12" customHeight="1">
      <c r="A4" s="2909" t="s">
        <v>458</v>
      </c>
      <c r="B4" s="2909"/>
      <c r="C4" s="2909"/>
      <c r="D4" s="2909"/>
      <c r="E4" s="2909"/>
    </row>
    <row r="5" spans="1:11" ht="21" customHeight="1">
      <c r="A5" s="790"/>
      <c r="B5" s="790"/>
      <c r="C5" s="790"/>
      <c r="D5" s="784"/>
      <c r="E5" s="877" t="s">
        <v>848</v>
      </c>
      <c r="H5" t="e">
        <f>D8/0.8*0.2</f>
        <v>#REF!</v>
      </c>
      <c r="J5" s="742" t="e">
        <f>J7-E8</f>
        <v>#REF!</v>
      </c>
    </row>
    <row r="6" spans="1:11" ht="111.75" customHeight="1">
      <c r="A6" s="791" t="s">
        <v>771</v>
      </c>
      <c r="B6" s="791" t="s">
        <v>764</v>
      </c>
      <c r="C6" s="791" t="s">
        <v>765</v>
      </c>
      <c r="D6" s="791" t="s">
        <v>772</v>
      </c>
      <c r="E6" s="791" t="s">
        <v>773</v>
      </c>
      <c r="F6" s="1504"/>
      <c r="J6" t="s">
        <v>1059</v>
      </c>
    </row>
    <row r="7" spans="1:11" ht="15" customHeight="1">
      <c r="A7" s="792">
        <v>1</v>
      </c>
      <c r="B7" s="792">
        <v>2</v>
      </c>
      <c r="C7" s="792">
        <v>3</v>
      </c>
      <c r="D7" s="792">
        <v>4</v>
      </c>
      <c r="E7" s="792">
        <v>5</v>
      </c>
      <c r="F7" s="1505"/>
      <c r="G7" s="735" t="s">
        <v>774</v>
      </c>
      <c r="H7" s="736" t="s">
        <v>775</v>
      </c>
      <c r="I7">
        <v>2006.8000000000002</v>
      </c>
      <c r="J7" s="408">
        <v>7572.833019710979</v>
      </c>
      <c r="K7" t="s">
        <v>1060</v>
      </c>
    </row>
    <row r="8" spans="1:11" ht="63" customHeight="1">
      <c r="A8" s="793">
        <v>1</v>
      </c>
      <c r="B8" s="794" t="s">
        <v>776</v>
      </c>
      <c r="C8" s="795" t="s">
        <v>84</v>
      </c>
      <c r="D8" s="796" t="e">
        <f>D9+D33</f>
        <v>#REF!</v>
      </c>
      <c r="E8" s="796" t="e">
        <f>E9+E33</f>
        <v>#REF!</v>
      </c>
      <c r="F8" s="1508">
        <f>F9+F33</f>
        <v>2758.5190399999997</v>
      </c>
      <c r="G8" s="735">
        <f>1911.2+95.6</f>
        <v>2006.8</v>
      </c>
      <c r="H8" s="1202" t="e">
        <f>#REF!</f>
        <v>#REF!</v>
      </c>
      <c r="I8" s="736" t="s">
        <v>777</v>
      </c>
      <c r="K8" s="408" t="e">
        <f>H8-E8</f>
        <v>#REF!</v>
      </c>
    </row>
    <row r="9" spans="1:11" ht="21.75" customHeight="1">
      <c r="A9" s="794" t="s">
        <v>293</v>
      </c>
      <c r="B9" s="794" t="s">
        <v>778</v>
      </c>
      <c r="C9" s="797" t="s">
        <v>84</v>
      </c>
      <c r="D9" s="796">
        <f>D10+D13+D14+D28</f>
        <v>1575.74</v>
      </c>
      <c r="E9" s="796" t="e">
        <f>E10+E13+E14+E28</f>
        <v>#REF!</v>
      </c>
      <c r="F9" s="1501">
        <f>F10+F13+F14+F28</f>
        <v>1658.6850399999998</v>
      </c>
    </row>
    <row r="10" spans="1:11" ht="21.75" customHeight="1">
      <c r="A10" s="798" t="s">
        <v>94</v>
      </c>
      <c r="B10" s="799" t="s">
        <v>779</v>
      </c>
      <c r="C10" s="795" t="s">
        <v>84</v>
      </c>
      <c r="D10" s="796">
        <f>SUM(D11:D12)</f>
        <v>273</v>
      </c>
      <c r="E10" s="796" t="e">
        <f>SUM(E11:E12)</f>
        <v>#REF!</v>
      </c>
      <c r="F10" s="1501">
        <f>SUM(F11:F12)</f>
        <v>285.55799999999999</v>
      </c>
      <c r="H10" s="1146"/>
      <c r="I10" s="1146" t="s">
        <v>1059</v>
      </c>
      <c r="J10" s="1146"/>
      <c r="K10" s="1146"/>
    </row>
    <row r="11" spans="1:11">
      <c r="A11" s="800" t="s">
        <v>780</v>
      </c>
      <c r="B11" s="737" t="s">
        <v>781</v>
      </c>
      <c r="C11" s="738" t="s">
        <v>84</v>
      </c>
      <c r="D11" s="787"/>
      <c r="E11" s="787" t="e">
        <f>#REF!</f>
        <v>#REF!</v>
      </c>
      <c r="F11" s="1503">
        <f>273*1.046</f>
        <v>285.55799999999999</v>
      </c>
      <c r="H11" s="1146"/>
      <c r="I11" s="1147">
        <v>7572.833019710979</v>
      </c>
      <c r="J11" s="1152" t="s">
        <v>1111</v>
      </c>
      <c r="K11" s="1146"/>
    </row>
    <row r="12" spans="1:11" ht="34.200000000000003">
      <c r="A12" s="800" t="s">
        <v>782</v>
      </c>
      <c r="B12" s="737" t="s">
        <v>783</v>
      </c>
      <c r="C12" s="738" t="s">
        <v>84</v>
      </c>
      <c r="D12" s="787">
        <v>273</v>
      </c>
      <c r="E12" s="787" t="e">
        <f>ROUND((#REF!-#REF!),1)</f>
        <v>#REF!</v>
      </c>
      <c r="F12" s="1502"/>
      <c r="H12" s="1146"/>
      <c r="I12" s="1150" t="s">
        <v>1115</v>
      </c>
      <c r="J12" s="1151" t="s">
        <v>1116</v>
      </c>
      <c r="K12" s="1152"/>
    </row>
    <row r="13" spans="1:11" ht="17.25" customHeight="1">
      <c r="A13" s="798" t="s">
        <v>95</v>
      </c>
      <c r="B13" s="799" t="s">
        <v>784</v>
      </c>
      <c r="C13" s="795" t="s">
        <v>84</v>
      </c>
      <c r="D13" s="796">
        <v>1196.5</v>
      </c>
      <c r="E13" s="796" t="e">
        <f>#REF!</f>
        <v>#REF!</v>
      </c>
      <c r="F13" s="1507">
        <f>1252+10</f>
        <v>1262</v>
      </c>
      <c r="H13" s="1146"/>
      <c r="I13" s="1148" t="s">
        <v>1113</v>
      </c>
      <c r="J13" s="1149">
        <v>22060</v>
      </c>
      <c r="K13" s="1146" t="s">
        <v>1114</v>
      </c>
    </row>
    <row r="14" spans="1:11">
      <c r="A14" s="798" t="s">
        <v>673</v>
      </c>
      <c r="B14" s="799" t="s">
        <v>785</v>
      </c>
      <c r="C14" s="795" t="s">
        <v>84</v>
      </c>
      <c r="D14" s="796">
        <f>SUM(D15:D16,D23:D27)</f>
        <v>50</v>
      </c>
      <c r="E14" s="796" t="e">
        <f>SUM(E15:E16,E23:E27)</f>
        <v>#REF!</v>
      </c>
      <c r="F14" s="1501">
        <f>SUM(F15:F16,F23:F27)</f>
        <v>52.300000000000004</v>
      </c>
      <c r="H14" s="1146"/>
      <c r="I14" s="1148" t="s">
        <v>1112</v>
      </c>
      <c r="J14" s="1149">
        <f>'П1.30 - 07.06.11г.'!C22</f>
        <v>20123</v>
      </c>
      <c r="K14" s="1146" t="s">
        <v>1114</v>
      </c>
    </row>
    <row r="15" spans="1:11">
      <c r="A15" s="800" t="s">
        <v>786</v>
      </c>
      <c r="B15" s="737" t="s">
        <v>787</v>
      </c>
      <c r="C15" s="738" t="s">
        <v>84</v>
      </c>
      <c r="D15" s="787"/>
      <c r="E15" s="787"/>
      <c r="F15" s="1502"/>
      <c r="G15" t="s">
        <v>788</v>
      </c>
    </row>
    <row r="16" spans="1:11">
      <c r="A16" s="800" t="s">
        <v>789</v>
      </c>
      <c r="B16" s="737" t="s">
        <v>790</v>
      </c>
      <c r="C16" s="738" t="s">
        <v>84</v>
      </c>
      <c r="D16" s="804">
        <f>SUM(D17:D22)</f>
        <v>0</v>
      </c>
      <c r="E16" s="804">
        <f>SUM(E17:E22)</f>
        <v>0</v>
      </c>
      <c r="F16" s="1502"/>
      <c r="G16" s="209"/>
      <c r="H16" s="209"/>
      <c r="I16" s="209"/>
      <c r="J16" s="209"/>
    </row>
    <row r="17" spans="1:10">
      <c r="A17" s="801" t="s">
        <v>791</v>
      </c>
      <c r="B17" s="802" t="s">
        <v>792</v>
      </c>
      <c r="C17" s="738" t="s">
        <v>84</v>
      </c>
      <c r="D17" s="787"/>
      <c r="E17" s="787"/>
      <c r="F17" s="1502"/>
      <c r="G17" s="209"/>
      <c r="H17" s="739"/>
      <c r="I17" s="209"/>
      <c r="J17" s="209"/>
    </row>
    <row r="18" spans="1:10" ht="22.8">
      <c r="A18" s="801" t="s">
        <v>793</v>
      </c>
      <c r="B18" s="802" t="s">
        <v>794</v>
      </c>
      <c r="C18" s="738" t="s">
        <v>84</v>
      </c>
      <c r="D18" s="788"/>
      <c r="E18" s="788"/>
      <c r="F18" s="1502"/>
      <c r="G18" s="209"/>
      <c r="H18" s="739"/>
      <c r="I18" s="209"/>
      <c r="J18" s="209"/>
    </row>
    <row r="19" spans="1:10">
      <c r="A19" s="801" t="s">
        <v>795</v>
      </c>
      <c r="B19" s="802" t="s">
        <v>796</v>
      </c>
      <c r="C19" s="738" t="s">
        <v>84</v>
      </c>
      <c r="D19" s="788"/>
      <c r="E19" s="788"/>
      <c r="F19" s="1502"/>
    </row>
    <row r="20" spans="1:10">
      <c r="A20" s="801" t="s">
        <v>797</v>
      </c>
      <c r="B20" s="802" t="s">
        <v>798</v>
      </c>
      <c r="C20" s="738" t="s">
        <v>84</v>
      </c>
      <c r="D20" s="788"/>
      <c r="E20" s="788"/>
      <c r="F20" s="1502"/>
    </row>
    <row r="21" spans="1:10">
      <c r="A21" s="801" t="s">
        <v>799</v>
      </c>
      <c r="B21" s="802" t="s">
        <v>800</v>
      </c>
      <c r="C21" s="738" t="s">
        <v>84</v>
      </c>
      <c r="D21" s="788"/>
      <c r="E21" s="788"/>
      <c r="F21" s="1502"/>
    </row>
    <row r="22" spans="1:10">
      <c r="A22" s="801" t="s">
        <v>801</v>
      </c>
      <c r="B22" s="803" t="s">
        <v>802</v>
      </c>
      <c r="C22" s="738" t="s">
        <v>84</v>
      </c>
      <c r="D22" s="788"/>
      <c r="E22" s="788"/>
      <c r="F22" s="1502"/>
      <c r="G22" t="s">
        <v>803</v>
      </c>
    </row>
    <row r="23" spans="1:10">
      <c r="A23" s="800" t="s">
        <v>804</v>
      </c>
      <c r="B23" s="737" t="s">
        <v>805</v>
      </c>
      <c r="C23" s="738" t="s">
        <v>84</v>
      </c>
      <c r="D23" s="788"/>
      <c r="E23" s="788"/>
      <c r="F23" s="1502"/>
    </row>
    <row r="24" spans="1:10">
      <c r="A24" s="800" t="s">
        <v>806</v>
      </c>
      <c r="B24" s="737" t="s">
        <v>807</v>
      </c>
      <c r="C24" s="738" t="s">
        <v>84</v>
      </c>
      <c r="D24" s="788"/>
      <c r="E24" s="788"/>
      <c r="F24" s="1502"/>
    </row>
    <row r="25" spans="1:10" ht="22.8">
      <c r="A25" s="800" t="s">
        <v>808</v>
      </c>
      <c r="B25" s="737" t="s">
        <v>809</v>
      </c>
      <c r="C25" s="738" t="s">
        <v>84</v>
      </c>
      <c r="D25" s="804"/>
      <c r="E25" s="788">
        <f>ROUND(('РСЭО 2012г.'!E33+'РСЭО 2012г.'!E34),1)</f>
        <v>82.3</v>
      </c>
      <c r="F25" s="1502"/>
      <c r="G25" t="s">
        <v>810</v>
      </c>
    </row>
    <row r="26" spans="1:10">
      <c r="A26" s="800" t="s">
        <v>811</v>
      </c>
      <c r="B26" s="737" t="s">
        <v>812</v>
      </c>
      <c r="C26" s="738" t="s">
        <v>84</v>
      </c>
      <c r="D26" s="804"/>
      <c r="E26" s="787"/>
      <c r="F26" s="1502"/>
    </row>
    <row r="27" spans="1:10">
      <c r="A27" s="800" t="s">
        <v>813</v>
      </c>
      <c r="B27" s="737" t="s">
        <v>1143</v>
      </c>
      <c r="C27" s="738" t="s">
        <v>84</v>
      </c>
      <c r="D27" s="788">
        <v>50</v>
      </c>
      <c r="E27" s="788" t="e">
        <f>ROUND((#REF!),1)</f>
        <v>#REF!</v>
      </c>
      <c r="F27" s="1502">
        <f>50*1.046</f>
        <v>52.300000000000004</v>
      </c>
      <c r="G27" t="s">
        <v>810</v>
      </c>
    </row>
    <row r="28" spans="1:10" ht="19.5" customHeight="1">
      <c r="A28" s="798" t="s">
        <v>674</v>
      </c>
      <c r="B28" s="805" t="s">
        <v>814</v>
      </c>
      <c r="C28" s="795" t="s">
        <v>84</v>
      </c>
      <c r="D28" s="788">
        <f>SUM(D29:D31)</f>
        <v>56.24</v>
      </c>
      <c r="E28" s="806" t="e">
        <f>SUM(E29:E31)</f>
        <v>#REF!</v>
      </c>
      <c r="F28" s="1506">
        <f>SUM(F29:F31)</f>
        <v>58.827040000000004</v>
      </c>
    </row>
    <row r="29" spans="1:10" ht="18.75" customHeight="1">
      <c r="A29" s="800" t="s">
        <v>815</v>
      </c>
      <c r="B29" s="737" t="s">
        <v>816</v>
      </c>
      <c r="C29" s="738" t="s">
        <v>84</v>
      </c>
      <c r="D29" s="804">
        <v>0</v>
      </c>
      <c r="E29" s="804">
        <v>0</v>
      </c>
      <c r="F29" s="1502"/>
    </row>
    <row r="30" spans="1:10" ht="18.75" customHeight="1">
      <c r="A30" s="800" t="s">
        <v>817</v>
      </c>
      <c r="B30" s="737" t="s">
        <v>818</v>
      </c>
      <c r="C30" s="738" t="s">
        <v>84</v>
      </c>
      <c r="D30" s="740">
        <f>(95.6-25.3)*0.8</f>
        <v>56.24</v>
      </c>
      <c r="E30" s="740" t="e">
        <f>#REF!+#REF!</f>
        <v>#REF!</v>
      </c>
      <c r="F30" s="1503">
        <f>D30*1.046</f>
        <v>58.827040000000004</v>
      </c>
    </row>
    <row r="31" spans="1:10" ht="18" customHeight="1">
      <c r="A31" s="800" t="s">
        <v>819</v>
      </c>
      <c r="B31" s="737" t="s">
        <v>820</v>
      </c>
      <c r="C31" s="738" t="s">
        <v>84</v>
      </c>
      <c r="D31" s="804">
        <v>0</v>
      </c>
      <c r="E31" s="804">
        <v>0</v>
      </c>
      <c r="F31" s="1502"/>
    </row>
    <row r="32" spans="1:10" ht="9.75" customHeight="1">
      <c r="A32" s="2909"/>
      <c r="B32" s="2909"/>
      <c r="C32" s="2909"/>
      <c r="D32" s="2909"/>
      <c r="E32" s="2909"/>
      <c r="F32" s="1502"/>
    </row>
    <row r="33" spans="1:10" ht="25.5" customHeight="1">
      <c r="A33" s="794" t="s">
        <v>294</v>
      </c>
      <c r="B33" s="794" t="s">
        <v>821</v>
      </c>
      <c r="C33" s="794" t="s">
        <v>84</v>
      </c>
      <c r="D33" s="806" t="e">
        <f>SUM(D34:D38,D42:D47)</f>
        <v>#REF!</v>
      </c>
      <c r="E33" s="806" t="e">
        <f>SUM(E34:E38,E42:E47)</f>
        <v>#REF!</v>
      </c>
      <c r="F33" s="1509">
        <f>SUM(F34:F38,F42:F47)</f>
        <v>1099.8339999999998</v>
      </c>
    </row>
    <row r="34" spans="1:10" ht="23.25" customHeight="1">
      <c r="A34" s="798" t="s">
        <v>677</v>
      </c>
      <c r="B34" s="807" t="s">
        <v>822</v>
      </c>
      <c r="C34" s="795" t="s">
        <v>84</v>
      </c>
      <c r="D34" s="804">
        <v>0</v>
      </c>
      <c r="E34" s="804">
        <v>0</v>
      </c>
      <c r="F34" s="1502"/>
    </row>
    <row r="35" spans="1:10" ht="19.5" customHeight="1">
      <c r="A35" s="798" t="s">
        <v>678</v>
      </c>
      <c r="B35" s="807" t="s">
        <v>823</v>
      </c>
      <c r="C35" s="795" t="s">
        <v>84</v>
      </c>
      <c r="D35" s="804">
        <v>0</v>
      </c>
      <c r="E35" s="804">
        <v>0</v>
      </c>
      <c r="F35" s="1502"/>
    </row>
    <row r="36" spans="1:10" ht="16.5" customHeight="1">
      <c r="A36" s="798" t="s">
        <v>679</v>
      </c>
      <c r="B36" s="807" t="s">
        <v>259</v>
      </c>
      <c r="C36" s="795" t="s">
        <v>84</v>
      </c>
      <c r="D36" s="804">
        <v>0</v>
      </c>
      <c r="E36" s="804">
        <v>0</v>
      </c>
      <c r="F36" s="1502"/>
    </row>
    <row r="37" spans="1:10">
      <c r="A37" s="798" t="s">
        <v>824</v>
      </c>
      <c r="B37" s="807" t="s">
        <v>825</v>
      </c>
      <c r="C37" s="795" t="s">
        <v>84</v>
      </c>
      <c r="D37" s="804">
        <v>0</v>
      </c>
      <c r="E37" s="804">
        <v>0</v>
      </c>
      <c r="F37" s="1502"/>
    </row>
    <row r="38" spans="1:10">
      <c r="A38" s="798" t="s">
        <v>826</v>
      </c>
      <c r="B38" s="808" t="s">
        <v>827</v>
      </c>
      <c r="C38" s="795" t="s">
        <v>84</v>
      </c>
      <c r="D38" s="806" t="e">
        <f>SUM(D39:D41)</f>
        <v>#REF!</v>
      </c>
      <c r="E38" s="806" t="e">
        <f>SUM(E39:E41)</f>
        <v>#REF!</v>
      </c>
      <c r="F38" s="1506">
        <f>SUM(F39:F41)</f>
        <v>25.3</v>
      </c>
    </row>
    <row r="39" spans="1:10">
      <c r="A39" s="800" t="s">
        <v>828</v>
      </c>
      <c r="B39" s="737" t="s">
        <v>829</v>
      </c>
      <c r="C39" s="738" t="s">
        <v>84</v>
      </c>
      <c r="D39" s="740"/>
      <c r="E39" s="740"/>
      <c r="F39" s="1502"/>
    </row>
    <row r="40" spans="1:10">
      <c r="A40" s="800" t="s">
        <v>830</v>
      </c>
      <c r="B40" s="737" t="s">
        <v>831</v>
      </c>
      <c r="C40" s="738" t="s">
        <v>84</v>
      </c>
      <c r="D40" s="740" t="e">
        <f>E40</f>
        <v>#REF!</v>
      </c>
      <c r="E40" s="740" t="e">
        <f>#REF!</f>
        <v>#REF!</v>
      </c>
      <c r="F40" s="1502">
        <v>25.3</v>
      </c>
    </row>
    <row r="41" spans="1:10">
      <c r="A41" s="800" t="s">
        <v>832</v>
      </c>
      <c r="B41" s="737" t="s">
        <v>833</v>
      </c>
      <c r="C41" s="738" t="s">
        <v>84</v>
      </c>
      <c r="D41" s="740"/>
      <c r="E41" s="740"/>
      <c r="F41" s="1502"/>
      <c r="G41" t="s">
        <v>834</v>
      </c>
    </row>
    <row r="42" spans="1:10" ht="28.5" customHeight="1">
      <c r="A42" s="798" t="s">
        <v>835</v>
      </c>
      <c r="B42" s="807" t="s">
        <v>836</v>
      </c>
      <c r="C42" s="795" t="s">
        <v>84</v>
      </c>
      <c r="D42" s="740">
        <v>311.10000000000002</v>
      </c>
      <c r="E42" s="740" t="e">
        <f>E13*0.357</f>
        <v>#REF!</v>
      </c>
      <c r="F42" s="1503">
        <f>0.357*F13</f>
        <v>450.53399999999999</v>
      </c>
      <c r="H42" s="741">
        <f>D42/D13</f>
        <v>0.26000835770998748</v>
      </c>
      <c r="I42" s="741" t="e">
        <f>E42/E13</f>
        <v>#REF!</v>
      </c>
    </row>
    <row r="43" spans="1:10" ht="24.75" customHeight="1">
      <c r="A43" s="798" t="s">
        <v>837</v>
      </c>
      <c r="B43" s="807" t="s">
        <v>838</v>
      </c>
      <c r="C43" s="795" t="s">
        <v>84</v>
      </c>
      <c r="D43" s="740">
        <v>80.599999999999994</v>
      </c>
      <c r="E43" s="740" t="e">
        <f>#REF!</f>
        <v>#REF!</v>
      </c>
      <c r="F43" s="1502">
        <v>80.599999999999994</v>
      </c>
    </row>
    <row r="44" spans="1:10" ht="30.75" customHeight="1">
      <c r="A44" s="798" t="s">
        <v>839</v>
      </c>
      <c r="B44" s="807" t="s">
        <v>840</v>
      </c>
      <c r="C44" s="795" t="s">
        <v>84</v>
      </c>
      <c r="D44" s="804"/>
      <c r="E44" s="804"/>
      <c r="F44" s="1502"/>
    </row>
    <row r="45" spans="1:10" ht="30" customHeight="1">
      <c r="A45" s="798" t="s">
        <v>841</v>
      </c>
      <c r="B45" s="807" t="s">
        <v>842</v>
      </c>
      <c r="C45" s="795" t="s">
        <v>84</v>
      </c>
      <c r="D45" s="804">
        <v>0</v>
      </c>
      <c r="E45" s="804">
        <v>0</v>
      </c>
      <c r="F45" s="1502"/>
      <c r="G45" t="s">
        <v>843</v>
      </c>
    </row>
    <row r="46" spans="1:10" ht="20.25" customHeight="1">
      <c r="A46" s="798" t="s">
        <v>844</v>
      </c>
      <c r="B46" s="807" t="s">
        <v>845</v>
      </c>
      <c r="C46" s="795" t="s">
        <v>84</v>
      </c>
      <c r="D46" s="740" t="e">
        <f>95.6-D30-D40</f>
        <v>#REF!</v>
      </c>
      <c r="E46" s="740" t="e">
        <f>#REF!</f>
        <v>#REF!</v>
      </c>
      <c r="F46" s="1502">
        <v>28.4</v>
      </c>
      <c r="I46" s="742" t="e">
        <f>D40+D46+D30</f>
        <v>#REF!</v>
      </c>
      <c r="J46" s="742" t="e">
        <f>E40+E46+E30</f>
        <v>#REF!</v>
      </c>
    </row>
    <row r="47" spans="1:10" ht="26.25" customHeight="1">
      <c r="A47" s="798" t="s">
        <v>846</v>
      </c>
      <c r="B47" s="807" t="s">
        <v>847</v>
      </c>
      <c r="C47" s="795" t="s">
        <v>84</v>
      </c>
      <c r="D47" s="804">
        <v>0</v>
      </c>
      <c r="E47" s="804">
        <v>0</v>
      </c>
      <c r="F47" s="1503">
        <v>515</v>
      </c>
      <c r="G47" s="742" t="s">
        <v>379</v>
      </c>
      <c r="H47" s="742"/>
    </row>
    <row r="48" spans="1:10" ht="10.5" customHeight="1">
      <c r="G48" s="742"/>
      <c r="H48" s="742"/>
    </row>
    <row r="49" spans="1:12" s="669" customFormat="1" ht="23.25" customHeight="1">
      <c r="A49" s="731" t="s">
        <v>731</v>
      </c>
      <c r="B49" s="731"/>
      <c r="C49" s="727"/>
      <c r="D49" s="728"/>
      <c r="E49" s="728"/>
      <c r="F49" s="1499"/>
      <c r="G49" s="728"/>
      <c r="H49" s="730"/>
      <c r="I49" s="728"/>
      <c r="J49" s="728"/>
      <c r="K49" s="728"/>
      <c r="L49" s="728"/>
    </row>
    <row r="50" spans="1:12" s="669" customFormat="1" ht="15" customHeight="1">
      <c r="A50" s="731" t="s">
        <v>761</v>
      </c>
      <c r="B50" s="732"/>
      <c r="C50" s="727"/>
      <c r="D50" s="728"/>
      <c r="E50" s="734" t="s">
        <v>733</v>
      </c>
      <c r="F50" s="1500"/>
      <c r="G50" s="728"/>
      <c r="I50" s="728"/>
      <c r="J50" s="728"/>
      <c r="K50" s="728"/>
      <c r="L50" s="728"/>
    </row>
    <row r="51" spans="1:12" ht="22.5" customHeight="1">
      <c r="A51" s="809"/>
      <c r="B51" s="2909"/>
      <c r="C51" s="2909"/>
      <c r="D51" s="2909"/>
      <c r="E51" s="2909"/>
    </row>
    <row r="52" spans="1:12" hidden="1">
      <c r="A52" s="810"/>
      <c r="B52" s="811"/>
      <c r="C52" s="811"/>
      <c r="D52" s="811"/>
      <c r="E52" s="811"/>
    </row>
    <row r="53" spans="1:12" ht="33" customHeight="1">
      <c r="A53" s="810"/>
      <c r="B53" s="2909"/>
      <c r="C53" s="2909"/>
      <c r="D53" s="2909"/>
      <c r="E53" s="2909"/>
    </row>
    <row r="54" spans="1:12" ht="60.75" customHeight="1">
      <c r="B54" s="2909"/>
      <c r="C54" s="2909"/>
      <c r="D54" s="2909"/>
      <c r="E54" s="2909"/>
    </row>
    <row r="62" spans="1:12" ht="15.6">
      <c r="B62" s="790"/>
    </row>
  </sheetData>
  <mergeCells count="6">
    <mergeCell ref="B54:E54"/>
    <mergeCell ref="A2:E3"/>
    <mergeCell ref="A4:E4"/>
    <mergeCell ref="A32:E32"/>
    <mergeCell ref="B51:E51"/>
    <mergeCell ref="B53:E53"/>
  </mergeCells>
  <printOptions horizontalCentered="1"/>
  <pageMargins left="0.78740157480314965" right="0.39370078740157483" top="0.78740157480314965" bottom="0.19685039370078741" header="0.51181102362204722" footer="0.51181102362204722"/>
  <pageSetup paperSize="9" scale="75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0">
    <tabColor rgb="FFC00000"/>
  </sheetPr>
  <dimension ref="A1:S68"/>
  <sheetViews>
    <sheetView topLeftCell="D18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9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1255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1365" t="s">
        <v>1258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395</v>
      </c>
      <c r="J16" s="255"/>
      <c r="K16" s="256"/>
      <c r="L16" s="649" t="s">
        <v>713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17.399999999999999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 t="e">
        <f>'НВВ на содержание'!E8</f>
        <v>#REF!</v>
      </c>
      <c r="J19" s="285" t="e">
        <f>E41*E42/1000</f>
        <v>#REF!</v>
      </c>
      <c r="K19" s="286" t="e">
        <f>ROUND((I19+J19),1)</f>
        <v>#REF!</v>
      </c>
      <c r="L19" s="287"/>
      <c r="M19" s="288"/>
      <c r="N19" s="289">
        <f>N23-N31+N35</f>
        <v>14422.644865044</v>
      </c>
      <c r="O19" s="276" t="e">
        <f>$E$41*$E$42/1000</f>
        <v>#REF!</v>
      </c>
      <c r="Q19" s="1294">
        <f>N23+K35-N32-K34</f>
        <v>14344.047118024</v>
      </c>
      <c r="R19" s="1296"/>
      <c r="S19" s="1297"/>
    </row>
    <row r="20" spans="1:19" ht="16.2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I23+I35-I31</f>
        <v>13573.639309743998</v>
      </c>
      <c r="J20" s="294">
        <f>ROUND((J23+J35-J31),1)</f>
        <v>2864</v>
      </c>
      <c r="K20" s="286">
        <f>ROUND((I20+J20),1)</f>
        <v>16437.599999999999</v>
      </c>
      <c r="L20" s="295"/>
      <c r="M20" s="211"/>
      <c r="N20" s="296"/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 t="e">
        <f>K19-K20</f>
        <v>#REF!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13359.547215359999</v>
      </c>
      <c r="J23" s="321">
        <f>SUM(J25:J29)</f>
        <v>3187.1466742999996</v>
      </c>
      <c r="K23" s="322">
        <f>I23+J23</f>
        <v>16546.693889659997</v>
      </c>
      <c r="L23" s="295"/>
      <c r="M23" s="211"/>
      <c r="N23" s="322">
        <f>SUM(N25:N29)</f>
        <v>14459.599999999999</v>
      </c>
      <c r="O23" s="609">
        <f>N23-K23</f>
        <v>-2087.0938896599982</v>
      </c>
      <c r="P23" s="623">
        <f>N19-K20</f>
        <v>-2014.9551349559988</v>
      </c>
    </row>
    <row r="24" spans="1:19" ht="27.75" customHeight="1">
      <c r="A24" s="282"/>
      <c r="B24" s="280" t="s">
        <v>414</v>
      </c>
      <c r="C24" s="605" t="s">
        <v>715</v>
      </c>
      <c r="D24" s="1303">
        <f>SUM(D25:D29)</f>
        <v>1.3779999999999999</v>
      </c>
      <c r="E24" s="1304">
        <f>SUM(E25:E29)</f>
        <v>9367.7000000000007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7115.3846153846162</v>
      </c>
      <c r="D25" s="1366">
        <v>0.57199999999999995</v>
      </c>
      <c r="E25" s="1367">
        <f>2033.37+2036.63</f>
        <v>4070</v>
      </c>
      <c r="F25" s="325">
        <f>E63</f>
        <v>427956.36</v>
      </c>
      <c r="G25" s="326">
        <f>'изм.приказ 27 от 28.04.2011'!D42</f>
        <v>179.28</v>
      </c>
      <c r="H25" s="327">
        <f>'изм.приказ 27 от 28.04.2011'!F42</f>
        <v>789.41</v>
      </c>
      <c r="I25" s="556">
        <f>D25*F25*12/1000</f>
        <v>2937.4924550399996</v>
      </c>
      <c r="J25" s="556">
        <f>E25*G25/1000</f>
        <v>729.66959999999995</v>
      </c>
      <c r="K25" s="557">
        <f>I25+J25</f>
        <v>3667.1620550399994</v>
      </c>
      <c r="L25" s="1286"/>
      <c r="M25" s="556"/>
      <c r="N25" s="557">
        <f>ROUND((E25*H25/1000),1)</f>
        <v>3212.9</v>
      </c>
      <c r="O25" s="1375">
        <f>'2012г.об.под факт2010'!N23-'послед2012г.об.по стр-ре СЭ (2)'!N23</f>
        <v>1091.2000000000007</v>
      </c>
    </row>
    <row r="26" spans="1:19">
      <c r="A26" s="290"/>
      <c r="B26" s="324" t="s">
        <v>415</v>
      </c>
      <c r="C26" s="1299">
        <f>E26/D26</f>
        <v>6734.2281879194634</v>
      </c>
      <c r="D26" s="1303">
        <v>0.745</v>
      </c>
      <c r="E26" s="1367">
        <f>2506.49+2510.51</f>
        <v>5017</v>
      </c>
      <c r="F26" s="325">
        <f>E65</f>
        <v>1110334.72</v>
      </c>
      <c r="G26" s="326">
        <f>'изм.приказ 27 от 28.04.2011'!D44</f>
        <v>469.5</v>
      </c>
      <c r="H26" s="327">
        <f>'изм.приказ 27 от 28.04.2011'!F44</f>
        <v>2146.56</v>
      </c>
      <c r="I26" s="556">
        <f>D26*F26*12/1000</f>
        <v>9926.3923967999999</v>
      </c>
      <c r="J26" s="556">
        <f>E26*G26/1000</f>
        <v>2355.4814999999999</v>
      </c>
      <c r="K26" s="557">
        <f>I26+J26</f>
        <v>12281.8738968</v>
      </c>
      <c r="L26" s="1286"/>
      <c r="M26" s="556"/>
      <c r="N26" s="557">
        <f>ROUND((E26*H26/1000),1)</f>
        <v>10769.3</v>
      </c>
      <c r="O26" s="1376" t="s">
        <v>1257</v>
      </c>
    </row>
    <row r="27" spans="1:19">
      <c r="A27" s="290"/>
      <c r="B27" s="328" t="s">
        <v>1226</v>
      </c>
      <c r="C27" s="1299">
        <f>E27/D27</f>
        <v>6600</v>
      </c>
      <c r="D27" s="1303">
        <v>0.02</v>
      </c>
      <c r="E27" s="1304">
        <f>65.4+66.6</f>
        <v>132</v>
      </c>
      <c r="F27" s="325">
        <f>'изм.приказ 27 от 28.04.2011'!B45</f>
        <v>2019526.48</v>
      </c>
      <c r="G27" s="326">
        <f>'изм.приказ 27 от 28.04.2011'!D45</f>
        <v>535.79999999999995</v>
      </c>
      <c r="H27" s="327">
        <f>'изм.приказ 27 от 28.04.2011'!F45</f>
        <v>3325.91</v>
      </c>
      <c r="I27" s="556">
        <f>D27*F27*12/1000</f>
        <v>484.68635519999998</v>
      </c>
      <c r="J27" s="556">
        <f>E27*G27/1000</f>
        <v>70.725599999999986</v>
      </c>
      <c r="K27" s="557">
        <f>I27+J27</f>
        <v>555.41195519999997</v>
      </c>
      <c r="L27" s="1286"/>
      <c r="M27" s="556"/>
      <c r="N27" s="557">
        <f>ROUND((E27*H27/1000),1)</f>
        <v>439</v>
      </c>
    </row>
    <row r="28" spans="1:19" s="391" customFormat="1" ht="28.2">
      <c r="A28" s="290"/>
      <c r="B28" s="328" t="s">
        <v>1225</v>
      </c>
      <c r="C28" s="1299">
        <f>E28/D28</f>
        <v>5566.6666666666661</v>
      </c>
      <c r="D28" s="1303">
        <f>0.003</f>
        <v>3.0000000000000001E-3</v>
      </c>
      <c r="E28" s="1304">
        <f>7.75+8.95</f>
        <v>16.7</v>
      </c>
      <c r="F28" s="325">
        <f>'изм.приказ 27 от 28.04.2011'!B46</f>
        <v>22308.959999999999</v>
      </c>
      <c r="G28" s="326">
        <f>'изм.приказ 27 от 28.04.2011'!D46</f>
        <v>210.28899999999999</v>
      </c>
      <c r="H28" s="327">
        <f>'изм.приказ 27 от 28.04.2011'!F46</f>
        <v>258.20999999999998</v>
      </c>
      <c r="I28" s="556">
        <f>D28*F28*12/1000</f>
        <v>0.80312256000000004</v>
      </c>
      <c r="J28" s="556">
        <f>E28*G28/1000</f>
        <v>3.5118262999999996</v>
      </c>
      <c r="K28" s="557">
        <f>I28+J28</f>
        <v>4.3149488599999994</v>
      </c>
      <c r="L28" s="1286"/>
      <c r="M28" s="556"/>
      <c r="N28" s="557">
        <f>ROUND((E28*H28/1000),1)</f>
        <v>4.3</v>
      </c>
    </row>
    <row r="29" spans="1:19" s="391" customFormat="1" ht="28.8" thickBot="1">
      <c r="A29" s="401"/>
      <c r="B29" s="328" t="s">
        <v>416</v>
      </c>
      <c r="C29" s="627">
        <f>E29/D29</f>
        <v>3473.6842105263158</v>
      </c>
      <c r="D29" s="1368">
        <f>0.038</f>
        <v>3.7999999999999999E-2</v>
      </c>
      <c r="E29" s="1369">
        <f>61.29+70.71</f>
        <v>132</v>
      </c>
      <c r="F29" s="405">
        <f>F28</f>
        <v>22308.959999999999</v>
      </c>
      <c r="G29" s="406">
        <f>G28</f>
        <v>210.28899999999999</v>
      </c>
      <c r="H29" s="407">
        <f>G67</f>
        <v>258.20999999999998</v>
      </c>
      <c r="I29" s="331">
        <f>D29*F29*12/1000</f>
        <v>10.17288576</v>
      </c>
      <c r="J29" s="332">
        <f>E29*G29/1000</f>
        <v>27.758147999999998</v>
      </c>
      <c r="K29" s="333">
        <f>I29+J29</f>
        <v>37.931033759999998</v>
      </c>
      <c r="L29" s="331"/>
      <c r="M29" s="1287"/>
      <c r="N29" s="333">
        <f>ROUND((E29*H29/1000),1)</f>
        <v>34.1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SUM(I32:I34)</f>
        <v>2325.3075864800003</v>
      </c>
      <c r="J31" s="556">
        <f>SUM(J32:J34)</f>
        <v>1689.7856701799999</v>
      </c>
      <c r="K31" s="1298">
        <f>SUM(K32:K34)</f>
        <v>4015.09325666</v>
      </c>
      <c r="L31" s="615">
        <f>SUM(L34:L34)</f>
        <v>0</v>
      </c>
      <c r="M31" s="465">
        <f>SUM(M34:M34)</f>
        <v>0</v>
      </c>
      <c r="N31" s="628">
        <f>SUM(N32:N34)</f>
        <v>3943.6471237199994</v>
      </c>
    </row>
    <row r="32" spans="1:19" ht="22.5" customHeight="1">
      <c r="A32" s="339">
        <v>1</v>
      </c>
      <c r="B32" s="280" t="s">
        <v>1259</v>
      </c>
      <c r="C32" s="626">
        <f>E32/D32</f>
        <v>7183.2162162162167</v>
      </c>
      <c r="D32" s="1380">
        <v>7.3999999999999996E-2</v>
      </c>
      <c r="E32" s="1367">
        <v>531.55799999999999</v>
      </c>
      <c r="F32" s="613">
        <v>279175.21000000002</v>
      </c>
      <c r="G32" s="614">
        <v>108.71</v>
      </c>
      <c r="H32" s="1293">
        <f>K32/E32*1000+12.17</f>
        <v>587.25918435993799</v>
      </c>
      <c r="I32" s="295">
        <f>$D32*$F32*12/1000</f>
        <v>247.90758647999999</v>
      </c>
      <c r="J32" s="211">
        <f>$E32*$G32/1000</f>
        <v>57.785670179999997</v>
      </c>
      <c r="K32" s="296">
        <f>I32+J32</f>
        <v>305.69325665999997</v>
      </c>
      <c r="L32" s="465"/>
      <c r="M32" s="465"/>
      <c r="N32" s="603">
        <f>E32*H32/1000</f>
        <v>312.16231751999993</v>
      </c>
    </row>
    <row r="33" spans="1:15" ht="22.5" customHeight="1">
      <c r="A33" s="1381">
        <v>2</v>
      </c>
      <c r="B33" s="1382" t="s">
        <v>1264</v>
      </c>
      <c r="C33" s="1383">
        <f>E33/D33</f>
        <v>7110.9999999999991</v>
      </c>
      <c r="D33" s="1378">
        <f>'П1.30 - 07.06.11г.'!D14</f>
        <v>6.5000000000000002E-2</v>
      </c>
      <c r="E33" s="1283">
        <f>'П1.30 - 07.06.11г.'!C14</f>
        <v>462.21499999999997</v>
      </c>
      <c r="F33" s="613"/>
      <c r="G33" s="614"/>
      <c r="H33" s="1293"/>
      <c r="I33" s="556">
        <f>ROUND(($D$33*$F$33*12/1000),1)</f>
        <v>0</v>
      </c>
      <c r="J33" s="556">
        <f>ROUND(($E$33*$G$33/1000),1)</f>
        <v>0</v>
      </c>
      <c r="K33" s="557">
        <f>I33+J33</f>
        <v>0</v>
      </c>
      <c r="L33" s="465"/>
      <c r="M33" s="465"/>
      <c r="N33" s="603">
        <f>E33*H33/1000</f>
        <v>0</v>
      </c>
    </row>
    <row r="34" spans="1:15" ht="22.5" customHeight="1" thickBot="1">
      <c r="A34" s="339">
        <v>3</v>
      </c>
      <c r="B34" s="280" t="s">
        <v>1260</v>
      </c>
      <c r="C34" s="626">
        <f>E34/D34</f>
        <v>8745.2795698924729</v>
      </c>
      <c r="D34" s="1378">
        <v>9.2999999999999999E-2</v>
      </c>
      <c r="E34" s="1282">
        <v>813.31100000000004</v>
      </c>
      <c r="F34" s="613">
        <v>1861465.03</v>
      </c>
      <c r="G34" s="614">
        <v>2006.61</v>
      </c>
      <c r="H34" s="1293">
        <f>K34/E34*1000-95.8</f>
        <v>4465.0629417283171</v>
      </c>
      <c r="I34" s="556">
        <f>ROUND(($D$34*$F$34*12/1000),1)</f>
        <v>2077.4</v>
      </c>
      <c r="J34" s="556">
        <f>ROUND(($E$34*$G$34/1000),1)</f>
        <v>1632</v>
      </c>
      <c r="K34" s="557">
        <f>I34+J34</f>
        <v>3709.4</v>
      </c>
      <c r="L34" s="465"/>
      <c r="M34" s="465"/>
      <c r="N34" s="603">
        <f>E34*H34/1000</f>
        <v>3631.4848061999996</v>
      </c>
    </row>
    <row r="35" spans="1:15" ht="47.4" thickBot="1">
      <c r="A35" s="637" t="s">
        <v>422</v>
      </c>
      <c r="B35" s="638" t="s">
        <v>1230</v>
      </c>
      <c r="C35" s="1302"/>
      <c r="D35" s="639"/>
      <c r="E35" s="640"/>
      <c r="F35" s="641" t="s">
        <v>420</v>
      </c>
      <c r="G35" s="642" t="s">
        <v>90</v>
      </c>
      <c r="H35" s="643" t="s">
        <v>90</v>
      </c>
      <c r="I35" s="644">
        <f>SUM(I36:I38)</f>
        <v>2539.3996808640004</v>
      </c>
      <c r="J35" s="645">
        <f>SUM(J36:J38)</f>
        <v>1366.6097546799999</v>
      </c>
      <c r="K35" s="646">
        <f>SUM(K36:K38)</f>
        <v>3906.0094355440006</v>
      </c>
      <c r="L35" s="647">
        <f>SUM(L37:L38)</f>
        <v>0</v>
      </c>
      <c r="M35" s="648">
        <f>SUM(M37:M38)</f>
        <v>0</v>
      </c>
      <c r="N35" s="646">
        <f>SUM(N36:N38)</f>
        <v>3906.6919887640006</v>
      </c>
    </row>
    <row r="36" spans="1:15">
      <c r="A36" s="629">
        <v>1</v>
      </c>
      <c r="B36" s="363" t="s">
        <v>1263</v>
      </c>
      <c r="C36" s="630">
        <f>E36/D36</f>
        <v>7638.9249261348386</v>
      </c>
      <c r="D36" s="1377">
        <f>D24+D37+D38+D32+D34+G41-D33</f>
        <v>2.9783999999999997</v>
      </c>
      <c r="E36" s="1288">
        <f>E24+E37+E38+E32+E34+E41-E33</f>
        <v>22751.774000000001</v>
      </c>
      <c r="F36" s="631">
        <v>451.08</v>
      </c>
      <c r="G36" s="632">
        <v>0.82</v>
      </c>
      <c r="H36" s="1293">
        <f>K36/E36*1000+0.03</f>
        <v>1.5586023298227203</v>
      </c>
      <c r="I36" s="633">
        <f>$D$36*$F$36*12/1000</f>
        <v>16.121960063999996</v>
      </c>
      <c r="J36" s="634">
        <f>$E$36*$G$36/1000</f>
        <v>18.65645468</v>
      </c>
      <c r="K36" s="635">
        <f>I36+J36</f>
        <v>34.778414743999996</v>
      </c>
      <c r="L36" s="636"/>
      <c r="M36" s="634"/>
      <c r="N36" s="635">
        <f>E36*H36/1000</f>
        <v>35.460967963999998</v>
      </c>
    </row>
    <row r="37" spans="1:15">
      <c r="A37" s="364">
        <v>2</v>
      </c>
      <c r="B37" s="280" t="s">
        <v>1261</v>
      </c>
      <c r="C37" s="626">
        <f>E37/D37</f>
        <v>8642.2018348623842</v>
      </c>
      <c r="D37" s="1380">
        <f>'[15]П1.30 -01.11.11г.'!$D$22</f>
        <v>1.0900000000000001</v>
      </c>
      <c r="E37" s="1384">
        <f>'[15]П1.30 -01.11.11г.'!$C$22</f>
        <v>9420</v>
      </c>
      <c r="F37" s="616">
        <v>169906.8</v>
      </c>
      <c r="G37" s="617">
        <v>114.55</v>
      </c>
      <c r="H37" s="618">
        <f>K37/E37*1000</f>
        <v>350.47154394904464</v>
      </c>
      <c r="I37" s="295">
        <f>$D37*$F37*12/1000</f>
        <v>2222.380944</v>
      </c>
      <c r="J37" s="211">
        <f>$E37*$G37/1000</f>
        <v>1079.0609999999999</v>
      </c>
      <c r="K37" s="296">
        <f>I37+J37</f>
        <v>3301.4419440000001</v>
      </c>
      <c r="L37" s="404"/>
      <c r="M37" s="211"/>
      <c r="N37" s="296">
        <f>E37*H37/1000</f>
        <v>3301.4419440000006</v>
      </c>
    </row>
    <row r="38" spans="1:15" ht="32.25" customHeight="1" thickBot="1">
      <c r="A38" s="340">
        <v>3</v>
      </c>
      <c r="B38" s="1385" t="s">
        <v>1262</v>
      </c>
      <c r="C38" s="627">
        <f>E38/D38</f>
        <v>6607.8431372549021</v>
      </c>
      <c r="D38" s="1379">
        <v>0.10199999999999999</v>
      </c>
      <c r="E38" s="607">
        <v>674</v>
      </c>
      <c r="F38" s="619">
        <v>245830.7</v>
      </c>
      <c r="G38" s="620">
        <v>398.95</v>
      </c>
      <c r="H38" s="621">
        <f>K38/E38*1000</f>
        <v>845.38438694362014</v>
      </c>
      <c r="I38" s="612">
        <f>$D$38*$F$38*12/1000</f>
        <v>300.8967768</v>
      </c>
      <c r="J38" s="611">
        <f>$E$38*$G$38/1000</f>
        <v>268.89229999999998</v>
      </c>
      <c r="K38" s="650">
        <f>I38+J38</f>
        <v>569.78907679999998</v>
      </c>
      <c r="L38" s="624"/>
      <c r="M38" s="625"/>
      <c r="N38" s="333">
        <f>E38*H38/1000</f>
        <v>569.78907679999998</v>
      </c>
    </row>
    <row r="39" spans="1:15" hidden="1">
      <c r="F39" s="94"/>
      <c r="G39" s="94"/>
      <c r="H39" s="94"/>
      <c r="L39" s="17"/>
      <c r="M39" s="17"/>
      <c r="N39" s="17"/>
    </row>
    <row r="40" spans="1:15">
      <c r="B40" s="52" t="s">
        <v>352</v>
      </c>
      <c r="C40" s="52"/>
      <c r="L40" s="17"/>
      <c r="M40" s="17"/>
      <c r="N40" s="17"/>
    </row>
    <row r="41" spans="1:15">
      <c r="D41" s="52" t="s">
        <v>1234</v>
      </c>
      <c r="E41" s="1374">
        <v>2407.42</v>
      </c>
      <c r="F41" s="17" t="s">
        <v>423</v>
      </c>
      <c r="G41" s="17">
        <v>0.30640000000000001</v>
      </c>
      <c r="H41" s="608">
        <f>E37+E38+E29+E41</f>
        <v>12633.42</v>
      </c>
      <c r="L41" s="17"/>
      <c r="M41" s="17"/>
      <c r="N41" s="17"/>
    </row>
    <row r="42" spans="1:15">
      <c r="D42" s="52" t="s">
        <v>424</v>
      </c>
      <c r="E42" s="341" t="e">
        <f>#REF!</f>
        <v>#REF!</v>
      </c>
      <c r="F42" s="17" t="s">
        <v>425</v>
      </c>
      <c r="L42" s="17"/>
      <c r="M42" s="17"/>
      <c r="N42" s="17"/>
    </row>
    <row r="43" spans="1:15" hidden="1"/>
    <row r="44" spans="1:15" hidden="1">
      <c r="E44" s="17" t="s">
        <v>425</v>
      </c>
      <c r="G44" s="410" t="s">
        <v>722</v>
      </c>
      <c r="H44" s="410"/>
      <c r="I44" s="410"/>
      <c r="J44" s="410"/>
      <c r="K44" s="410"/>
    </row>
    <row r="45" spans="1:15" hidden="1">
      <c r="E45" s="417"/>
      <c r="F45" s="416"/>
      <c r="G45" s="411" t="s">
        <v>419</v>
      </c>
      <c r="H45" s="411"/>
      <c r="I45" s="411"/>
      <c r="J45" s="415" t="s">
        <v>606</v>
      </c>
      <c r="K45" s="415"/>
      <c r="L45" s="17"/>
      <c r="M45" s="17"/>
      <c r="N45" s="17"/>
      <c r="O45" s="342"/>
    </row>
    <row r="46" spans="1:15" ht="27" hidden="1">
      <c r="E46" s="417"/>
      <c r="F46" s="416"/>
      <c r="G46" s="412" t="s">
        <v>420</v>
      </c>
      <c r="H46" s="412" t="s">
        <v>90</v>
      </c>
      <c r="I46" s="413" t="s">
        <v>605</v>
      </c>
      <c r="J46" s="410"/>
      <c r="K46" s="410"/>
      <c r="L46" s="17"/>
      <c r="M46" s="17"/>
      <c r="N46" s="17"/>
      <c r="O46" s="343"/>
    </row>
    <row r="47" spans="1:15" hidden="1">
      <c r="E47" s="417"/>
      <c r="F47" s="416"/>
      <c r="G47" s="148"/>
      <c r="H47" s="148"/>
      <c r="I47" s="148"/>
      <c r="J47" s="410"/>
      <c r="K47" s="410"/>
      <c r="L47" s="17"/>
      <c r="M47" s="17"/>
      <c r="N47" s="17"/>
      <c r="O47" s="342"/>
    </row>
    <row r="48" spans="1:15" hidden="1">
      <c r="E48" s="417"/>
      <c r="F48" s="416" t="s">
        <v>723</v>
      </c>
      <c r="G48" s="148"/>
      <c r="H48" s="148"/>
      <c r="I48" s="148"/>
      <c r="J48" s="410"/>
      <c r="K48" s="410"/>
    </row>
    <row r="49" spans="2:14" hidden="1">
      <c r="E49" s="417"/>
      <c r="F49" s="416" t="s">
        <v>421</v>
      </c>
      <c r="G49" s="414"/>
      <c r="H49" s="414"/>
      <c r="I49" s="414"/>
      <c r="J49" s="410"/>
      <c r="K49" s="414"/>
    </row>
    <row r="50" spans="2:14" hidden="1">
      <c r="E50" s="417"/>
      <c r="F50" s="416" t="s">
        <v>447</v>
      </c>
      <c r="G50" s="414"/>
      <c r="H50" s="414"/>
      <c r="I50" s="414"/>
      <c r="J50" s="410"/>
      <c r="K50" s="414"/>
    </row>
    <row r="51" spans="2:14" hidden="1">
      <c r="E51" s="417"/>
      <c r="F51" s="416" t="s">
        <v>720</v>
      </c>
      <c r="G51" s="414"/>
      <c r="H51" s="414"/>
      <c r="I51" s="414"/>
      <c r="J51" s="410"/>
      <c r="K51" s="414"/>
    </row>
    <row r="52" spans="2:14" hidden="1">
      <c r="E52" s="417"/>
      <c r="F52" s="416" t="s">
        <v>248</v>
      </c>
      <c r="G52" s="414"/>
      <c r="H52" s="414"/>
      <c r="I52" s="414"/>
      <c r="J52" s="410"/>
      <c r="K52" s="414"/>
    </row>
    <row r="53" spans="2:14" hidden="1"/>
    <row r="54" spans="2:14" hidden="1"/>
    <row r="55" spans="2:14" hidden="1">
      <c r="K55" s="94"/>
      <c r="L55" s="17"/>
      <c r="M55" s="17"/>
      <c r="N55" s="17"/>
    </row>
    <row r="56" spans="2:14" hidden="1"/>
    <row r="57" spans="2:14" hidden="1"/>
    <row r="58" spans="2:14" ht="12.75" customHeight="1">
      <c r="B58" s="6" t="s">
        <v>730</v>
      </c>
      <c r="C58" s="6"/>
      <c r="D58" s="6"/>
      <c r="E58" s="6"/>
      <c r="F58" s="6"/>
      <c r="G58" s="123"/>
      <c r="H58" s="124"/>
    </row>
    <row r="59" spans="2:14">
      <c r="B59" s="3025" t="s">
        <v>337</v>
      </c>
      <c r="C59" s="8"/>
      <c r="D59" s="8"/>
      <c r="E59" s="3038" t="s">
        <v>338</v>
      </c>
      <c r="F59" s="23" t="s">
        <v>339</v>
      </c>
      <c r="G59" s="3025" t="s">
        <v>340</v>
      </c>
      <c r="H59" s="6"/>
    </row>
    <row r="60" spans="2:14" ht="66.599999999999994">
      <c r="B60" s="3037"/>
      <c r="C60" s="15"/>
      <c r="D60" s="15"/>
      <c r="E60" s="3039"/>
      <c r="F60" s="23" t="s">
        <v>341</v>
      </c>
      <c r="G60" s="3026"/>
      <c r="H60" s="6"/>
    </row>
    <row r="61" spans="2:14" ht="16.8">
      <c r="B61" s="3037"/>
      <c r="C61" s="15"/>
      <c r="D61" s="15"/>
      <c r="E61" s="98" t="s">
        <v>342</v>
      </c>
      <c r="F61" s="98" t="s">
        <v>343</v>
      </c>
      <c r="G61" s="13"/>
      <c r="H61" s="124" t="s">
        <v>336</v>
      </c>
    </row>
    <row r="62" spans="2:14" ht="15.75" customHeight="1">
      <c r="B62" s="3026"/>
      <c r="C62" s="10"/>
      <c r="D62" s="10"/>
      <c r="E62" s="13" t="s">
        <v>99</v>
      </c>
      <c r="F62" s="13" t="s">
        <v>344</v>
      </c>
      <c r="G62" s="13" t="s">
        <v>344</v>
      </c>
      <c r="H62" s="123"/>
    </row>
    <row r="63" spans="2:14">
      <c r="B63" s="13" t="s">
        <v>292</v>
      </c>
      <c r="C63" s="583"/>
      <c r="D63" s="583"/>
      <c r="E63" s="1372">
        <f>'изм.приказ 27 от 28.04.2011'!B42</f>
        <v>427956.36</v>
      </c>
      <c r="F63" s="1372">
        <f>'изм.приказ 27 от 28.04.2011'!D42</f>
        <v>179.28</v>
      </c>
      <c r="G63" s="1372">
        <f>'изм.приказ 27 от 28.04.2011'!F42</f>
        <v>789.41</v>
      </c>
      <c r="H63" s="585">
        <f>(E63*12/(G63-F63))</f>
        <v>8417.0198482290671</v>
      </c>
    </row>
    <row r="64" spans="2:14">
      <c r="B64" s="13" t="s">
        <v>276</v>
      </c>
      <c r="C64" s="13"/>
      <c r="D64" s="1308"/>
      <c r="E64" s="224">
        <f>'изм.приказ 27 от 28.04.2011'!B43</f>
        <v>781756.21</v>
      </c>
      <c r="F64" s="224">
        <f>'изм.приказ 27 от 28.04.2011'!D43</f>
        <v>191.71</v>
      </c>
      <c r="G64" s="224">
        <f>'изм.приказ 27 от 28.04.2011'!F43</f>
        <v>1324.32</v>
      </c>
      <c r="H64" s="123">
        <f>(E64*12/(G64-F64))</f>
        <v>8282.7050087850184</v>
      </c>
    </row>
    <row r="65" spans="2:8">
      <c r="B65" s="23" t="s">
        <v>348</v>
      </c>
      <c r="C65" s="23"/>
      <c r="D65" s="1370"/>
      <c r="E65" s="224">
        <f>'изм.приказ 27 от 28.04.2011'!B44</f>
        <v>1110334.72</v>
      </c>
      <c r="F65" s="224">
        <f>'изм.приказ 27 от 28.04.2011'!D44</f>
        <v>469.5</v>
      </c>
      <c r="G65" s="224">
        <f>'изм.приказ 27 от 28.04.2011'!F44</f>
        <v>2146.56</v>
      </c>
      <c r="H65" s="123">
        <f>(E65*12/(G65-F65))</f>
        <v>7944.8658008658012</v>
      </c>
    </row>
    <row r="66" spans="2:8">
      <c r="B66" s="13" t="s">
        <v>280</v>
      </c>
      <c r="C66" s="583"/>
      <c r="D66" s="583"/>
      <c r="E66" s="1373">
        <f>'изм.приказ 27 от 28.04.2011'!B45</f>
        <v>2019526.48</v>
      </c>
      <c r="F66" s="1373">
        <f>'изм.приказ 27 от 28.04.2011'!D45</f>
        <v>535.79999999999995</v>
      </c>
      <c r="G66" s="1373">
        <f>'изм.приказ 27 от 28.04.2011'!F45</f>
        <v>3325.91</v>
      </c>
      <c r="H66" s="585">
        <f>(E66*12/(G66-F66))</f>
        <v>8685.7929472314718</v>
      </c>
    </row>
    <row r="67" spans="2:8">
      <c r="B67" s="374" t="s">
        <v>449</v>
      </c>
      <c r="C67" s="374"/>
      <c r="D67" s="1371"/>
      <c r="E67" s="375">
        <f>'изм.приказ 27 от 28.04.2011'!B46</f>
        <v>22308.959999999999</v>
      </c>
      <c r="F67" s="375">
        <f>'изм.приказ 27 от 28.04.2011'!D46</f>
        <v>210.28899999999999</v>
      </c>
      <c r="G67" s="375">
        <f>'изм.приказ 27 от 28.04.2011'!F46</f>
        <v>258.20999999999998</v>
      </c>
      <c r="H67" s="229">
        <f>(E67*12/(G67-F67))</f>
        <v>5586.4343398510064</v>
      </c>
    </row>
    <row r="68" spans="2:8">
      <c r="B68" s="55"/>
      <c r="C68" s="55"/>
      <c r="D68" s="55"/>
      <c r="E68" s="55"/>
      <c r="F68" s="55"/>
      <c r="G68" s="55"/>
      <c r="H68" s="55"/>
    </row>
  </sheetData>
  <mergeCells count="14">
    <mergeCell ref="G59:G60"/>
    <mergeCell ref="A22:A23"/>
    <mergeCell ref="B22:E23"/>
    <mergeCell ref="A30:A31"/>
    <mergeCell ref="B30:B31"/>
    <mergeCell ref="B59:B62"/>
    <mergeCell ref="E59:E60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1">
    <tabColor rgb="FF7030A0"/>
  </sheetPr>
  <dimension ref="A1:N103"/>
  <sheetViews>
    <sheetView zoomScaleSheetLayoutView="100" workbookViewId="0">
      <pane ySplit="8" topLeftCell="A9" activePane="bottomLeft" state="frozen"/>
      <selection activeCell="K8" sqref="K8"/>
      <selection pane="bottomLeft" activeCell="K8" sqref="K8"/>
    </sheetView>
  </sheetViews>
  <sheetFormatPr defaultColWidth="9.109375" defaultRowHeight="13.2"/>
  <cols>
    <col min="1" max="1" width="35.5546875" style="28" customWidth="1"/>
    <col min="2" max="6" width="13.44140625" style="28" customWidth="1"/>
    <col min="7" max="7" width="9.109375" style="200"/>
    <col min="8" max="9" width="9.5546875" style="200" bestFit="1" customWidth="1"/>
    <col min="10" max="14" width="9.109375" style="200"/>
    <col min="15" max="16384" width="9.109375" style="28"/>
  </cols>
  <sheetData>
    <row r="1" spans="1:14" ht="17.399999999999999">
      <c r="A1" s="444" t="s">
        <v>730</v>
      </c>
      <c r="F1" s="445" t="s">
        <v>233</v>
      </c>
      <c r="G1" s="28"/>
      <c r="H1" s="486">
        <f>B10+B13+B17+B30</f>
        <v>160376.16899999999</v>
      </c>
      <c r="I1" s="486">
        <v>159801.12099999998</v>
      </c>
      <c r="J1" s="28"/>
      <c r="K1" s="28"/>
      <c r="L1" s="28"/>
      <c r="M1" s="28"/>
      <c r="N1" s="28"/>
    </row>
    <row r="2" spans="1:14" ht="20.399999999999999">
      <c r="A2" s="446" t="s">
        <v>457</v>
      </c>
      <c r="B2" s="447"/>
      <c r="C2" s="447"/>
      <c r="D2" s="447"/>
      <c r="E2" s="447"/>
      <c r="F2" s="447"/>
      <c r="G2" s="28"/>
      <c r="H2" s="486">
        <f>B11+B14+B18+B31</f>
        <v>31.726347847524671</v>
      </c>
      <c r="I2" s="486">
        <v>31.358097955738721</v>
      </c>
      <c r="J2" s="28"/>
      <c r="K2" s="28"/>
      <c r="L2" s="28"/>
      <c r="M2" s="28"/>
      <c r="N2" s="28"/>
    </row>
    <row r="3" spans="1:14" s="200" customFormat="1">
      <c r="A3" s="28"/>
      <c r="B3" s="28"/>
      <c r="C3" s="28"/>
      <c r="D3" s="28"/>
      <c r="E3" s="28"/>
      <c r="F3" s="28"/>
    </row>
    <row r="4" spans="1:14" ht="21.75" customHeight="1" thickBot="1">
      <c r="A4" s="448" t="s">
        <v>727</v>
      </c>
      <c r="B4" s="448"/>
      <c r="C4" s="448"/>
      <c r="D4" s="448"/>
      <c r="E4" s="448"/>
      <c r="F4" s="448"/>
      <c r="G4" s="28"/>
      <c r="H4" s="476"/>
      <c r="I4" s="28"/>
      <c r="J4" s="28"/>
      <c r="K4" s="28"/>
      <c r="L4" s="28"/>
      <c r="M4" s="28"/>
      <c r="N4" s="28"/>
    </row>
    <row r="5" spans="1:14">
      <c r="A5" s="2909" t="s">
        <v>458</v>
      </c>
      <c r="B5" s="2909"/>
      <c r="C5" s="2909"/>
      <c r="D5" s="2909"/>
      <c r="E5" s="2909"/>
      <c r="F5" s="2909"/>
      <c r="G5" s="28"/>
      <c r="H5" s="476" t="s">
        <v>608</v>
      </c>
      <c r="I5" s="28"/>
      <c r="J5" s="28"/>
      <c r="K5" s="28"/>
      <c r="L5" s="28"/>
      <c r="M5" s="28"/>
      <c r="N5" s="28"/>
    </row>
    <row r="6" spans="1:14" ht="15.6">
      <c r="F6" s="445"/>
      <c r="G6" s="28"/>
      <c r="H6" s="887">
        <v>36138.020999999993</v>
      </c>
      <c r="I6" s="486">
        <f>B13+B17+B30</f>
        <v>34656.069000000003</v>
      </c>
      <c r="J6" s="486">
        <f>I6-H6</f>
        <v>-1481.9519999999902</v>
      </c>
      <c r="K6" s="28"/>
      <c r="L6" s="28"/>
      <c r="M6" s="28"/>
      <c r="N6" s="28"/>
    </row>
    <row r="7" spans="1:14" ht="15.75" customHeight="1">
      <c r="A7" s="2909" t="s">
        <v>459</v>
      </c>
      <c r="B7" s="2909" t="s">
        <v>460</v>
      </c>
      <c r="C7" s="2909" t="s">
        <v>461</v>
      </c>
      <c r="D7" s="2909"/>
      <c r="E7" s="2909"/>
      <c r="F7" s="2909"/>
      <c r="G7" s="28"/>
      <c r="H7" s="888">
        <v>4.3580979557387227</v>
      </c>
      <c r="I7" s="879">
        <f>B14+B18+B31</f>
        <v>4.4254078764876255</v>
      </c>
      <c r="J7" s="879">
        <f>I7-H7</f>
        <v>6.7309920748902741E-2</v>
      </c>
      <c r="K7" s="28"/>
      <c r="L7" s="28"/>
      <c r="M7" s="28"/>
      <c r="N7" s="28"/>
    </row>
    <row r="8" spans="1:14" ht="15.6">
      <c r="A8" s="2909"/>
      <c r="B8" s="2909"/>
      <c r="C8" s="449" t="s">
        <v>292</v>
      </c>
      <c r="D8" s="449" t="s">
        <v>217</v>
      </c>
      <c r="E8" s="449" t="s">
        <v>218</v>
      </c>
      <c r="F8" s="449" t="s">
        <v>280</v>
      </c>
      <c r="G8" s="28"/>
      <c r="H8" s="28"/>
      <c r="I8" s="28"/>
      <c r="J8" s="28"/>
      <c r="K8" s="28"/>
      <c r="L8" s="28"/>
      <c r="M8" s="28"/>
      <c r="N8" s="28"/>
    </row>
    <row r="9" spans="1:14" ht="21.75" customHeight="1">
      <c r="A9" s="451" t="s">
        <v>462</v>
      </c>
      <c r="B9" s="452"/>
      <c r="C9" s="452"/>
      <c r="D9" s="452"/>
      <c r="E9" s="452"/>
      <c r="F9" s="452"/>
      <c r="G9" s="28"/>
      <c r="H9" s="28"/>
      <c r="I9" s="28"/>
      <c r="J9" s="200">
        <f>-21700+19763+531.558+16.5+40-133.01</f>
        <v>-1481.952</v>
      </c>
      <c r="K9" s="28"/>
      <c r="L9" s="28"/>
      <c r="M9" s="28"/>
      <c r="N9" s="28"/>
    </row>
    <row r="10" spans="1:14" ht="23.25" customHeight="1">
      <c r="A10" s="453" t="s">
        <v>463</v>
      </c>
      <c r="B10" s="454">
        <f>SUM(C10:F10)</f>
        <v>125720.1</v>
      </c>
      <c r="C10" s="454">
        <v>123663.1</v>
      </c>
      <c r="D10" s="454">
        <v>825</v>
      </c>
      <c r="E10" s="454">
        <f>807</f>
        <v>807</v>
      </c>
      <c r="F10" s="454">
        <f>425</f>
        <v>425</v>
      </c>
      <c r="G10" s="28"/>
      <c r="H10" s="28"/>
      <c r="I10" s="28"/>
      <c r="J10" s="885">
        <f>-2.51+2.51+0.074+0.0033+0.0053-0.01531</f>
        <v>6.7289999999999989E-2</v>
      </c>
      <c r="K10" s="28"/>
      <c r="L10" s="28"/>
      <c r="M10" s="28"/>
      <c r="N10" s="28"/>
    </row>
    <row r="11" spans="1:14" ht="23.25" customHeight="1">
      <c r="A11" s="457" t="s">
        <v>464</v>
      </c>
      <c r="B11" s="1065">
        <f>SUM(C11:F11)</f>
        <v>27.30093997103705</v>
      </c>
      <c r="C11" s="458">
        <v>27</v>
      </c>
      <c r="D11" s="458">
        <f>825/6942</f>
        <v>0.11884183232497839</v>
      </c>
      <c r="E11" s="458">
        <f>E10/6837</f>
        <v>0.11803422553751645</v>
      </c>
      <c r="F11" s="458">
        <f>F10/6634</f>
        <v>6.4063913174555315E-2</v>
      </c>
      <c r="G11" s="28"/>
      <c r="H11" s="28"/>
      <c r="I11" s="28"/>
      <c r="J11" s="28"/>
      <c r="K11" s="28"/>
      <c r="L11" s="28"/>
      <c r="M11" s="28"/>
      <c r="N11" s="28"/>
    </row>
    <row r="12" spans="1:14" ht="21.75" customHeight="1">
      <c r="A12" s="451" t="s">
        <v>465</v>
      </c>
      <c r="B12" s="459"/>
      <c r="C12" s="459"/>
      <c r="D12" s="459"/>
      <c r="E12" s="452"/>
      <c r="F12" s="452"/>
      <c r="G12" s="28"/>
      <c r="H12" s="486"/>
      <c r="I12" s="28"/>
      <c r="J12" s="28"/>
      <c r="K12" s="28"/>
      <c r="L12" s="28"/>
      <c r="M12" s="28"/>
      <c r="N12" s="28"/>
    </row>
    <row r="13" spans="1:14" ht="23.25" customHeight="1">
      <c r="A13" s="453" t="s">
        <v>463</v>
      </c>
      <c r="B13" s="454">
        <f>SUM(C13:F13)</f>
        <v>2529.6999999999998</v>
      </c>
      <c r="C13" s="458">
        <v>2529.6999999999998</v>
      </c>
      <c r="D13" s="458"/>
      <c r="E13" s="454"/>
      <c r="F13" s="454"/>
      <c r="G13" s="28"/>
      <c r="H13" s="28"/>
      <c r="I13" s="28"/>
      <c r="J13" s="28"/>
      <c r="K13" s="28"/>
      <c r="L13" s="28"/>
      <c r="M13" s="28"/>
      <c r="N13" s="28"/>
    </row>
    <row r="14" spans="1:14" ht="23.25" customHeight="1">
      <c r="A14" s="457" t="s">
        <v>464</v>
      </c>
      <c r="B14" s="458">
        <f>SUM(C14:F14)</f>
        <v>0.30878943479104243</v>
      </c>
      <c r="C14" s="458">
        <v>0.30878943479104243</v>
      </c>
      <c r="D14" s="458"/>
      <c r="E14" s="458"/>
      <c r="F14" s="458"/>
      <c r="G14" s="28"/>
      <c r="H14" s="28"/>
      <c r="I14" s="28"/>
      <c r="J14" s="28"/>
      <c r="K14" s="28"/>
      <c r="L14" s="28"/>
      <c r="M14" s="28"/>
      <c r="N14" s="28"/>
    </row>
    <row r="15" spans="1:14" ht="21.75" customHeight="1">
      <c r="A15" s="460" t="s">
        <v>466</v>
      </c>
      <c r="B15" s="461"/>
      <c r="C15" s="462"/>
      <c r="D15" s="461"/>
      <c r="E15" s="461"/>
      <c r="F15" s="461"/>
      <c r="G15" s="28"/>
      <c r="H15" s="28"/>
      <c r="I15" s="28"/>
      <c r="J15" s="28"/>
      <c r="K15" s="28"/>
      <c r="L15" s="28"/>
      <c r="M15" s="28"/>
      <c r="N15" s="28"/>
    </row>
    <row r="16" spans="1:14" ht="14.25" customHeight="1">
      <c r="A16" s="463" t="s">
        <v>467</v>
      </c>
      <c r="B16" s="463"/>
      <c r="C16" s="463"/>
      <c r="D16" s="463"/>
      <c r="E16" s="463"/>
      <c r="F16" s="463"/>
      <c r="G16" s="28"/>
      <c r="H16" s="28"/>
      <c r="I16" s="28"/>
      <c r="J16" s="28"/>
      <c r="K16" s="28"/>
      <c r="L16" s="28"/>
      <c r="M16" s="28"/>
      <c r="N16" s="28"/>
    </row>
    <row r="17" spans="1:14" ht="23.25" customHeight="1">
      <c r="A17" s="288" t="s">
        <v>463</v>
      </c>
      <c r="B17" s="464">
        <f>SUM(C17:F17)</f>
        <v>9984.4999999999982</v>
      </c>
      <c r="C17" s="464">
        <f t="shared" ref="C17:F18" si="0">C21+C24+C27</f>
        <v>4070</v>
      </c>
      <c r="D17" s="465">
        <f t="shared" si="0"/>
        <v>16.5</v>
      </c>
      <c r="E17" s="465">
        <f t="shared" si="0"/>
        <v>5412.2999999999993</v>
      </c>
      <c r="F17" s="465">
        <f t="shared" si="0"/>
        <v>485.69999999999902</v>
      </c>
    </row>
    <row r="18" spans="1:14" ht="23.25" customHeight="1">
      <c r="A18" s="466" t="s">
        <v>464</v>
      </c>
      <c r="B18" s="467">
        <f>SUM(C18:F18)</f>
        <v>1.297618441696583</v>
      </c>
      <c r="C18" s="467">
        <f t="shared" si="0"/>
        <v>0.53700000000000003</v>
      </c>
      <c r="D18" s="878">
        <f t="shared" si="0"/>
        <v>3.3E-3</v>
      </c>
      <c r="E18" s="468">
        <f t="shared" si="0"/>
        <v>0.68200000000000005</v>
      </c>
      <c r="F18" s="468">
        <f t="shared" si="0"/>
        <v>7.5318441696582902E-2</v>
      </c>
    </row>
    <row r="19" spans="1:14" ht="14.25" customHeight="1">
      <c r="A19" s="469" t="s">
        <v>251</v>
      </c>
      <c r="B19" s="469"/>
      <c r="C19" s="469"/>
      <c r="D19" s="469"/>
      <c r="E19" s="469"/>
      <c r="F19" s="469"/>
    </row>
    <row r="20" spans="1:14" ht="19.5" customHeight="1">
      <c r="A20" s="470" t="s">
        <v>468</v>
      </c>
      <c r="B20" s="471"/>
      <c r="C20" s="471"/>
      <c r="D20" s="471"/>
      <c r="E20" s="471"/>
      <c r="F20" s="472"/>
    </row>
    <row r="21" spans="1:14" ht="23.25" customHeight="1">
      <c r="A21" s="453" t="s">
        <v>463</v>
      </c>
      <c r="B21" s="456">
        <f>SUM(C21:F21)</f>
        <v>9712.9999999999982</v>
      </c>
      <c r="C21" s="456">
        <v>4070</v>
      </c>
      <c r="D21" s="75">
        <v>0</v>
      </c>
      <c r="E21" s="890">
        <f>5395.4</f>
        <v>5395.4</v>
      </c>
      <c r="F21" s="882">
        <f>207.599999999999+40</f>
        <v>247.599999999999</v>
      </c>
    </row>
    <row r="22" spans="1:14" ht="23.25" customHeight="1">
      <c r="A22" s="457" t="s">
        <v>464</v>
      </c>
      <c r="B22" s="455">
        <f>SUM(C22:F22)</f>
        <v>1.2503184416965831</v>
      </c>
      <c r="C22" s="455">
        <v>0.53700000000000003</v>
      </c>
      <c r="D22" s="75">
        <v>0</v>
      </c>
      <c r="E22" s="891">
        <f>0.679</f>
        <v>0.67900000000000005</v>
      </c>
      <c r="F22" s="882">
        <f>0.029+40/7521</f>
        <v>3.4318441696582901E-2</v>
      </c>
    </row>
    <row r="23" spans="1:14" ht="30.75" customHeight="1">
      <c r="A23" s="2909" t="s">
        <v>618</v>
      </c>
      <c r="B23" s="2909"/>
      <c r="C23" s="2909"/>
      <c r="D23" s="2909"/>
      <c r="E23" s="2909"/>
      <c r="F23" s="2909"/>
    </row>
    <row r="24" spans="1:14" ht="47.25" customHeight="1">
      <c r="A24" s="453" t="s">
        <v>463</v>
      </c>
      <c r="B24" s="456">
        <f>SUM(C24:F24)</f>
        <v>255.00000000000003</v>
      </c>
      <c r="C24" s="75">
        <v>0</v>
      </c>
      <c r="D24" s="75">
        <v>0</v>
      </c>
      <c r="E24" s="456">
        <v>16.899999999999999</v>
      </c>
      <c r="F24" s="456">
        <v>238.10000000000002</v>
      </c>
    </row>
    <row r="25" spans="1:14" ht="23.25" customHeight="1">
      <c r="A25" s="457" t="s">
        <v>464</v>
      </c>
      <c r="B25" s="455">
        <f>SUM(C25:F25)</f>
        <v>4.4000000000000004E-2</v>
      </c>
      <c r="C25" s="75">
        <v>0</v>
      </c>
      <c r="D25" s="75">
        <v>0</v>
      </c>
      <c r="E25" s="889">
        <v>3.0000000000000001E-3</v>
      </c>
      <c r="F25" s="889">
        <v>4.1000000000000002E-2</v>
      </c>
      <c r="H25" s="886">
        <f>E24/E25</f>
        <v>5633.333333333333</v>
      </c>
      <c r="I25" s="886">
        <f>F24/F25</f>
        <v>5807.3170731707323</v>
      </c>
    </row>
    <row r="26" spans="1:14" ht="49.5" customHeight="1">
      <c r="A26" s="2909" t="s">
        <v>619</v>
      </c>
      <c r="B26" s="2909"/>
      <c r="C26" s="2909"/>
      <c r="D26" s="2909"/>
      <c r="E26" s="2909"/>
      <c r="F26" s="2909"/>
    </row>
    <row r="27" spans="1:14" ht="23.25" customHeight="1">
      <c r="A27" s="453" t="s">
        <v>463</v>
      </c>
      <c r="B27" s="465">
        <f>SUM(C27:F27)</f>
        <v>16.5</v>
      </c>
      <c r="C27" s="456"/>
      <c r="D27" s="880">
        <f>16.5</f>
        <v>16.5</v>
      </c>
      <c r="E27" s="890"/>
      <c r="F27" s="454"/>
    </row>
    <row r="28" spans="1:14" ht="23.25" customHeight="1">
      <c r="A28" s="457" t="s">
        <v>464</v>
      </c>
      <c r="B28" s="878">
        <f>SUM(C28:F28)</f>
        <v>3.3E-3</v>
      </c>
      <c r="C28" s="455"/>
      <c r="D28" s="881">
        <f>D27/5000</f>
        <v>3.3E-3</v>
      </c>
      <c r="E28" s="892"/>
      <c r="F28" s="458"/>
    </row>
    <row r="29" spans="1:14" ht="21.75" customHeight="1">
      <c r="A29" s="473" t="s">
        <v>469</v>
      </c>
      <c r="B29" s="469"/>
      <c r="C29" s="469"/>
      <c r="D29" s="469"/>
      <c r="E29" s="469"/>
      <c r="F29" s="469"/>
    </row>
    <row r="30" spans="1:14" ht="23.25" customHeight="1">
      <c r="A30" s="453" t="s">
        <v>463</v>
      </c>
      <c r="B30" s="465">
        <f>SUM(C30:F30)</f>
        <v>22141.869000000002</v>
      </c>
      <c r="C30" s="882">
        <f>23187.311-21700+19763</f>
        <v>21250.311000000002</v>
      </c>
      <c r="D30" s="75">
        <v>0</v>
      </c>
      <c r="E30" s="454">
        <v>360</v>
      </c>
      <c r="F30" s="882">
        <f>531.558</f>
        <v>531.55799999999999</v>
      </c>
      <c r="I30" s="659">
        <v>23680.321</v>
      </c>
    </row>
    <row r="31" spans="1:14" ht="23.25" customHeight="1">
      <c r="A31" s="457" t="s">
        <v>464</v>
      </c>
      <c r="B31" s="468">
        <f>SUM(C31:F31)</f>
        <v>2.819</v>
      </c>
      <c r="C31" s="882">
        <f>2.705-2.51+2.51</f>
        <v>2.7050000000000001</v>
      </c>
      <c r="D31" s="75">
        <v>0</v>
      </c>
      <c r="E31" s="458">
        <v>0.04</v>
      </c>
      <c r="F31" s="882">
        <f>0.074</f>
        <v>7.3999999999999996E-2</v>
      </c>
      <c r="I31" s="379">
        <v>2.7603135126301153</v>
      </c>
    </row>
    <row r="32" spans="1:14" s="476" customFormat="1" ht="15.75" customHeight="1">
      <c r="A32" s="474"/>
      <c r="B32" s="474"/>
      <c r="C32" s="474"/>
      <c r="D32" s="474"/>
      <c r="E32" s="474"/>
      <c r="F32" s="474"/>
      <c r="G32" s="475"/>
      <c r="H32" s="475"/>
      <c r="I32" s="475"/>
      <c r="J32" s="475"/>
      <c r="K32" s="475"/>
      <c r="L32" s="475"/>
      <c r="M32" s="475"/>
      <c r="N32" s="475"/>
    </row>
    <row r="33" spans="1:14" s="476" customFormat="1" ht="15.75" customHeight="1">
      <c r="G33" s="475"/>
      <c r="H33" s="475"/>
      <c r="I33" s="475"/>
      <c r="J33" s="475"/>
      <c r="K33" s="475"/>
      <c r="L33" s="475"/>
      <c r="M33" s="475"/>
      <c r="N33" s="475"/>
    </row>
    <row r="34" spans="1:14" s="391" customFormat="1" ht="15.75" customHeight="1">
      <c r="C34" s="477"/>
      <c r="E34" s="478"/>
      <c r="G34" s="479"/>
      <c r="H34" s="479"/>
      <c r="I34" s="479"/>
      <c r="J34" s="479"/>
      <c r="K34" s="479"/>
      <c r="L34" s="479"/>
      <c r="M34" s="479"/>
      <c r="N34" s="479"/>
    </row>
    <row r="35" spans="1:14" s="391" customFormat="1" ht="15.75" customHeight="1">
      <c r="A35" s="94" t="s">
        <v>235</v>
      </c>
      <c r="B35" s="94"/>
      <c r="C35" s="94"/>
      <c r="D35" s="92" t="s">
        <v>731</v>
      </c>
      <c r="E35" s="94"/>
      <c r="F35" s="94"/>
      <c r="G35" s="479"/>
      <c r="H35" s="479"/>
      <c r="I35" s="479"/>
      <c r="J35" s="479"/>
      <c r="K35" s="479"/>
      <c r="L35" s="479"/>
      <c r="M35" s="479"/>
      <c r="N35" s="479"/>
    </row>
    <row r="36" spans="1:14" s="391" customFormat="1" ht="15.75" customHeight="1">
      <c r="A36" s="94" t="s">
        <v>620</v>
      </c>
      <c r="B36" s="94"/>
      <c r="C36" s="94"/>
      <c r="D36" s="443" t="s">
        <v>758</v>
      </c>
      <c r="E36" s="94"/>
      <c r="F36" s="94"/>
      <c r="G36" s="479"/>
      <c r="H36" s="479"/>
      <c r="I36" s="479"/>
      <c r="J36" s="479"/>
      <c r="K36" s="479"/>
      <c r="L36" s="479"/>
      <c r="M36" s="479"/>
      <c r="N36" s="479"/>
    </row>
    <row r="37" spans="1:14" s="391" customFormat="1" ht="19.5" customHeight="1">
      <c r="B37" s="94"/>
      <c r="C37" s="94"/>
      <c r="D37" s="17" t="s">
        <v>727</v>
      </c>
      <c r="E37" s="94"/>
      <c r="F37" s="94"/>
      <c r="G37" s="479"/>
      <c r="H37" s="479"/>
      <c r="I37" s="479"/>
      <c r="J37" s="479"/>
      <c r="K37" s="479"/>
      <c r="L37" s="479"/>
      <c r="M37" s="479"/>
      <c r="N37" s="479"/>
    </row>
    <row r="38" spans="1:14" s="391" customFormat="1" ht="15.75" customHeight="1">
      <c r="B38" s="94"/>
      <c r="C38" s="94"/>
      <c r="E38" s="481"/>
      <c r="F38" s="230"/>
      <c r="G38" s="479"/>
      <c r="H38" s="479"/>
      <c r="I38" s="479"/>
      <c r="J38" s="479"/>
      <c r="K38" s="479"/>
      <c r="L38" s="479"/>
      <c r="M38" s="479"/>
      <c r="N38" s="479"/>
    </row>
    <row r="39" spans="1:14" ht="15.6">
      <c r="A39" s="94" t="s">
        <v>621</v>
      </c>
      <c r="B39" s="120"/>
      <c r="C39" s="120"/>
      <c r="D39" s="443" t="s">
        <v>759</v>
      </c>
      <c r="E39" s="120"/>
      <c r="F39" s="120"/>
    </row>
    <row r="40" spans="1:14">
      <c r="A40" s="480" t="s">
        <v>470</v>
      </c>
      <c r="B40" s="200"/>
      <c r="C40" s="200"/>
      <c r="D40" s="480" t="s">
        <v>471</v>
      </c>
      <c r="E40" s="200"/>
      <c r="F40" s="482"/>
    </row>
    <row r="41" spans="1:14">
      <c r="A41" s="483"/>
      <c r="B41" s="484"/>
      <c r="C41" s="379"/>
      <c r="D41" s="450"/>
      <c r="E41" s="379"/>
      <c r="F41" s="482"/>
    </row>
    <row r="42" spans="1:14">
      <c r="A42" s="485"/>
      <c r="B42" s="484"/>
      <c r="C42" s="379"/>
      <c r="D42" s="450"/>
      <c r="E42" s="379"/>
      <c r="F42" s="482"/>
    </row>
    <row r="43" spans="1:14">
      <c r="A43" s="200"/>
      <c r="B43" s="450"/>
      <c r="C43" s="450"/>
      <c r="D43" s="450"/>
      <c r="E43" s="379"/>
      <c r="F43" s="482"/>
    </row>
    <row r="44" spans="1:14">
      <c r="A44" s="200"/>
      <c r="B44" s="200"/>
      <c r="C44" s="379"/>
      <c r="D44" s="200"/>
      <c r="E44" s="200"/>
      <c r="F44" s="200"/>
    </row>
    <row r="46" spans="1:14">
      <c r="A46" s="200"/>
    </row>
    <row r="102" spans="4:14">
      <c r="D102" s="35" t="e">
        <f>D127+#REF!</f>
        <v>#REF!</v>
      </c>
      <c r="E102" s="486" t="e">
        <f>E127+#REF!</f>
        <v>#REF!</v>
      </c>
      <c r="G102" s="28"/>
      <c r="H102" s="28"/>
      <c r="I102" s="28"/>
      <c r="J102" s="28"/>
      <c r="K102" s="28"/>
      <c r="L102" s="28"/>
      <c r="M102" s="28"/>
      <c r="N102" s="28"/>
    </row>
    <row r="103" spans="4:14">
      <c r="E103" s="486"/>
      <c r="G103" s="28"/>
      <c r="H103" s="28"/>
      <c r="I103" s="28"/>
      <c r="J103" s="28"/>
      <c r="K103" s="28"/>
      <c r="L103" s="28"/>
      <c r="M103" s="28"/>
      <c r="N103" s="28"/>
    </row>
  </sheetData>
  <mergeCells count="6">
    <mergeCell ref="A26:F26"/>
    <mergeCell ref="A5:F5"/>
    <mergeCell ref="A7:A8"/>
    <mergeCell ref="B7:B8"/>
    <mergeCell ref="C7:F7"/>
    <mergeCell ref="A23:F23"/>
  </mergeCells>
  <printOptions horizontalCentered="1"/>
  <pageMargins left="0.98402777777777783" right="0.98402777777777783" top="0.78749999999999998" bottom="0.11805555555555557" header="0.51180555555555562" footer="0.51180555555555562"/>
  <pageSetup paperSize="9" scale="77" firstPageNumber="0" orientation="portrait" horizontalDpi="300" verticalDpi="300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2">
    <tabColor rgb="FF92D050"/>
  </sheetPr>
  <dimension ref="A1:L55"/>
  <sheetViews>
    <sheetView topLeftCell="A23" workbookViewId="0">
      <selection activeCell="K8" sqref="K8"/>
    </sheetView>
  </sheetViews>
  <sheetFormatPr defaultColWidth="9.109375" defaultRowHeight="13.2"/>
  <cols>
    <col min="1" max="1" width="4.5546875" style="69" customWidth="1"/>
    <col min="2" max="2" width="55" style="69" customWidth="1"/>
    <col min="3" max="3" width="14.33203125" style="69" customWidth="1"/>
    <col min="4" max="4" width="13.88671875" style="69" customWidth="1"/>
    <col min="5" max="5" width="12.5546875" style="979" customWidth="1"/>
    <col min="6" max="7" width="9.109375" style="69"/>
    <col min="8" max="8" width="9.109375" style="973"/>
    <col min="9" max="16384" width="9.109375" style="69"/>
  </cols>
  <sheetData>
    <row r="1" spans="1:8" ht="75.75" hidden="1" customHeight="1">
      <c r="A1" s="971" t="s">
        <v>947</v>
      </c>
      <c r="B1" s="88"/>
      <c r="E1" s="972"/>
    </row>
    <row r="2" spans="1:8" ht="15" hidden="1" customHeight="1">
      <c r="A2" s="974"/>
      <c r="B2" s="88"/>
      <c r="C2" s="975"/>
      <c r="D2" s="976"/>
      <c r="E2" s="972"/>
    </row>
    <row r="3" spans="1:8" ht="15" hidden="1" customHeight="1">
      <c r="A3" s="974"/>
      <c r="B3" s="88"/>
      <c r="C3" s="975"/>
      <c r="D3" s="976"/>
      <c r="E3" s="972"/>
    </row>
    <row r="4" spans="1:8" ht="15" hidden="1" customHeight="1">
      <c r="A4" s="974"/>
      <c r="B4" s="88"/>
      <c r="C4" s="975"/>
      <c r="D4" s="976"/>
      <c r="E4" s="972"/>
    </row>
    <row r="5" spans="1:8" ht="15" hidden="1" customHeight="1">
      <c r="A5" s="974"/>
      <c r="B5" s="88"/>
      <c r="C5" s="975"/>
      <c r="D5" s="976"/>
      <c r="E5" s="972"/>
    </row>
    <row r="6" spans="1:8" ht="15" hidden="1" customHeight="1">
      <c r="A6" s="974"/>
      <c r="B6" s="88"/>
      <c r="C6" s="975"/>
      <c r="D6" s="976"/>
      <c r="E6" s="972"/>
    </row>
    <row r="7" spans="1:8" ht="15" hidden="1" customHeight="1">
      <c r="A7" s="974"/>
      <c r="B7" s="88"/>
      <c r="C7" s="975"/>
      <c r="D7" s="976"/>
      <c r="E7" s="972"/>
    </row>
    <row r="8" spans="1:8" ht="19.5" hidden="1" customHeight="1">
      <c r="A8" s="974"/>
      <c r="B8" s="88"/>
      <c r="C8" s="975"/>
      <c r="D8" s="976"/>
      <c r="E8" s="972"/>
    </row>
    <row r="9" spans="1:8" ht="19.5" hidden="1" customHeight="1">
      <c r="A9" s="974"/>
      <c r="B9" s="88"/>
      <c r="C9" s="975"/>
      <c r="D9" s="976"/>
      <c r="E9" s="972"/>
    </row>
    <row r="10" spans="1:8" ht="19.5" hidden="1" customHeight="1">
      <c r="A10" s="974"/>
      <c r="B10" s="88"/>
      <c r="C10" s="975"/>
      <c r="D10" s="976"/>
      <c r="E10" s="972"/>
    </row>
    <row r="11" spans="1:8" ht="76.5" customHeight="1">
      <c r="A11" s="977"/>
      <c r="B11" s="978"/>
      <c r="C11" s="2909" t="s">
        <v>948</v>
      </c>
      <c r="D11" s="2909"/>
    </row>
    <row r="12" spans="1:8" ht="18" customHeight="1">
      <c r="A12" s="977" t="s">
        <v>949</v>
      </c>
      <c r="B12" s="978"/>
      <c r="C12" s="978"/>
      <c r="D12" s="978"/>
      <c r="E12" s="980"/>
    </row>
    <row r="13" spans="1:8" ht="17.399999999999999">
      <c r="A13" s="977" t="s">
        <v>950</v>
      </c>
      <c r="B13" s="978"/>
      <c r="C13" s="978"/>
      <c r="D13" s="978"/>
      <c r="E13" s="980"/>
    </row>
    <row r="14" spans="1:8" ht="17.399999999999999">
      <c r="A14" s="977" t="s">
        <v>932</v>
      </c>
      <c r="B14" s="978"/>
      <c r="C14" s="978"/>
      <c r="D14" s="978"/>
      <c r="E14" s="980"/>
    </row>
    <row r="15" spans="1:8" ht="24.75" customHeight="1">
      <c r="A15" s="88"/>
      <c r="B15" s="88"/>
    </row>
    <row r="16" spans="1:8" s="984" customFormat="1" ht="151.5" customHeight="1">
      <c r="A16" s="981" t="s">
        <v>951</v>
      </c>
      <c r="B16" s="981" t="s">
        <v>952</v>
      </c>
      <c r="C16" s="981" t="s">
        <v>953</v>
      </c>
      <c r="D16" s="982" t="s">
        <v>954</v>
      </c>
      <c r="E16" s="983" t="s">
        <v>337</v>
      </c>
      <c r="F16" s="984" t="s">
        <v>335</v>
      </c>
      <c r="H16" s="985" t="s">
        <v>450</v>
      </c>
    </row>
    <row r="17" spans="1:10" s="984" customFormat="1" ht="23.25" customHeight="1">
      <c r="A17" s="986" t="s">
        <v>955</v>
      </c>
      <c r="B17" s="987"/>
      <c r="C17" s="987"/>
      <c r="D17" s="987"/>
      <c r="E17" s="988"/>
      <c r="F17" s="984" t="s">
        <v>335</v>
      </c>
      <c r="H17" s="985"/>
    </row>
    <row r="18" spans="1:10" ht="23.25" customHeight="1">
      <c r="A18" s="989"/>
      <c r="B18" s="989"/>
      <c r="C18" s="990" t="s">
        <v>468</v>
      </c>
      <c r="D18" s="991"/>
      <c r="E18" s="991"/>
    </row>
    <row r="19" spans="1:10" ht="15.75" customHeight="1">
      <c r="A19" s="989" t="s">
        <v>76</v>
      </c>
      <c r="B19" s="992" t="s">
        <v>956</v>
      </c>
      <c r="C19" s="1047">
        <f>C34+(4940.64-4069.969)</f>
        <v>3074.6400000000003</v>
      </c>
      <c r="D19" s="1051">
        <f>D34+(0.6033-0.537)</f>
        <v>0.31929999999999992</v>
      </c>
      <c r="E19" s="993" t="s">
        <v>292</v>
      </c>
      <c r="H19" s="994">
        <f>C19/D19</f>
        <v>9629.3141246476698</v>
      </c>
    </row>
    <row r="20" spans="1:10" ht="21" customHeight="1">
      <c r="A20" s="989" t="s">
        <v>77</v>
      </c>
      <c r="B20" s="992" t="s">
        <v>957</v>
      </c>
      <c r="C20" s="989">
        <f>C46</f>
        <v>1866</v>
      </c>
      <c r="D20" s="1052">
        <f>D46</f>
        <v>0.28399999999999997</v>
      </c>
      <c r="E20" s="993" t="s">
        <v>292</v>
      </c>
      <c r="G20" s="998">
        <f>SUM(C19:C20)</f>
        <v>4940.6400000000003</v>
      </c>
      <c r="H20" s="994">
        <f t="shared" ref="H20:H46" si="0">C20/D20</f>
        <v>6570.422535211268</v>
      </c>
    </row>
    <row r="21" spans="1:10" ht="35.25" customHeight="1">
      <c r="A21" s="989"/>
      <c r="B21" s="995" t="s">
        <v>958</v>
      </c>
      <c r="C21" s="1049">
        <f>SUM(C19:C20)</f>
        <v>4940.6400000000003</v>
      </c>
      <c r="D21" s="1053">
        <f>ROUND((SUM(D19:D20)),4)</f>
        <v>0.60329999999999995</v>
      </c>
      <c r="E21" s="997" t="s">
        <v>292</v>
      </c>
      <c r="G21" s="1048">
        <f>SUM(D19:D20)</f>
        <v>0.60329999999999995</v>
      </c>
      <c r="H21" s="994">
        <f t="shared" si="0"/>
        <v>8189.3585280954758</v>
      </c>
    </row>
    <row r="22" spans="1:10" ht="24.75" customHeight="1">
      <c r="A22" s="989" t="s">
        <v>78</v>
      </c>
      <c r="B22" s="992" t="s">
        <v>468</v>
      </c>
      <c r="C22" s="1050">
        <v>4637.9399999999996</v>
      </c>
      <c r="D22" s="1052">
        <v>0.5988</v>
      </c>
      <c r="E22" s="993" t="s">
        <v>218</v>
      </c>
      <c r="H22" s="994">
        <f t="shared" si="0"/>
        <v>7745.3907815631255</v>
      </c>
    </row>
    <row r="23" spans="1:10" ht="15.75" customHeight="1">
      <c r="A23" s="989" t="s">
        <v>79</v>
      </c>
      <c r="B23" s="992" t="s">
        <v>468</v>
      </c>
      <c r="C23" s="1050">
        <v>54.15</v>
      </c>
      <c r="D23" s="1052">
        <v>7.1999999999999998E-3</v>
      </c>
      <c r="E23" s="993" t="s">
        <v>280</v>
      </c>
      <c r="H23" s="994">
        <f t="shared" si="0"/>
        <v>7520.833333333333</v>
      </c>
    </row>
    <row r="24" spans="1:10" ht="33.75" customHeight="1">
      <c r="A24" s="989"/>
      <c r="B24" s="1000" t="s">
        <v>959</v>
      </c>
      <c r="C24" s="1055">
        <f>C21+C22+C23</f>
        <v>9632.73</v>
      </c>
      <c r="D24" s="1054">
        <f>D21+D22+D23</f>
        <v>1.2093</v>
      </c>
      <c r="E24" s="1001"/>
      <c r="H24" s="994">
        <f t="shared" si="0"/>
        <v>7965.5420491193245</v>
      </c>
    </row>
    <row r="25" spans="1:10" ht="18" customHeight="1">
      <c r="A25" s="989"/>
      <c r="B25" s="989"/>
      <c r="C25" s="1002" t="s">
        <v>960</v>
      </c>
      <c r="D25" s="991"/>
      <c r="E25" s="991"/>
      <c r="H25" s="994"/>
    </row>
    <row r="26" spans="1:10" ht="16.5" hidden="1" customHeight="1">
      <c r="A26" s="989"/>
      <c r="B26" s="989"/>
      <c r="C26" s="999"/>
      <c r="D26" s="989"/>
      <c r="E26" s="993" t="s">
        <v>292</v>
      </c>
      <c r="H26" s="994" t="e">
        <f t="shared" si="0"/>
        <v>#DIV/0!</v>
      </c>
    </row>
    <row r="27" spans="1:10" ht="21.75" customHeight="1">
      <c r="A27" s="989" t="s">
        <v>80</v>
      </c>
      <c r="B27" s="992" t="s">
        <v>960</v>
      </c>
      <c r="C27" s="1050">
        <v>21.36</v>
      </c>
      <c r="D27" s="1052">
        <v>4.3E-3</v>
      </c>
      <c r="E27" s="993" t="s">
        <v>218</v>
      </c>
      <c r="H27" s="994">
        <f t="shared" si="0"/>
        <v>4967.4418604651164</v>
      </c>
    </row>
    <row r="28" spans="1:10" ht="24" customHeight="1">
      <c r="A28" s="989" t="s">
        <v>81</v>
      </c>
      <c r="B28" s="992" t="s">
        <v>960</v>
      </c>
      <c r="C28" s="1050">
        <v>188.37</v>
      </c>
      <c r="D28" s="1052">
        <v>3.7499999999999999E-2</v>
      </c>
      <c r="E28" s="993" t="s">
        <v>280</v>
      </c>
      <c r="H28" s="994">
        <f t="shared" si="0"/>
        <v>5023.2000000000007</v>
      </c>
    </row>
    <row r="29" spans="1:10" ht="28.5" customHeight="1">
      <c r="A29" s="989"/>
      <c r="B29" s="1000" t="s">
        <v>961</v>
      </c>
      <c r="C29" s="1055">
        <f>SUM(C27:C28)</f>
        <v>209.73000000000002</v>
      </c>
      <c r="D29" s="1054">
        <f>SUM(D27:D28)</f>
        <v>4.1799999999999997E-2</v>
      </c>
      <c r="E29" s="1001"/>
      <c r="H29" s="994">
        <f>C29/D29</f>
        <v>5017.4641148325363</v>
      </c>
    </row>
    <row r="30" spans="1:10" s="1007" customFormat="1" ht="21" customHeight="1">
      <c r="A30" s="1003"/>
      <c r="B30" s="1004" t="s">
        <v>962</v>
      </c>
      <c r="C30" s="1005">
        <f>C24+C29</f>
        <v>9842.4599999999991</v>
      </c>
      <c r="D30" s="1056">
        <f>D24+D29</f>
        <v>1.2511000000000001</v>
      </c>
      <c r="E30" s="1006"/>
      <c r="H30" s="994">
        <f t="shared" si="0"/>
        <v>7867.0450003996466</v>
      </c>
    </row>
    <row r="31" spans="1:10" s="984" customFormat="1" ht="21" customHeight="1">
      <c r="A31" s="1008" t="s">
        <v>963</v>
      </c>
      <c r="B31" s="1009"/>
      <c r="C31" s="1010"/>
      <c r="D31" s="989"/>
      <c r="E31" s="1011"/>
      <c r="F31" s="984" t="s">
        <v>335</v>
      </c>
      <c r="H31" s="994"/>
    </row>
    <row r="32" spans="1:10" ht="78" customHeight="1">
      <c r="A32" s="1012">
        <f>A18+1</f>
        <v>1</v>
      </c>
      <c r="B32" s="1013" t="s">
        <v>964</v>
      </c>
      <c r="C32" s="1014">
        <v>3017.28</v>
      </c>
      <c r="D32" s="1015">
        <v>0.34599999999999997</v>
      </c>
      <c r="E32" s="1016" t="s">
        <v>292</v>
      </c>
      <c r="G32" s="1017">
        <f>C33+C35+C45</f>
        <v>21250.311000000002</v>
      </c>
      <c r="H32" s="994">
        <f t="shared" si="0"/>
        <v>8720.462427745666</v>
      </c>
      <c r="I32" s="1018">
        <f>[16]Лист1!H20</f>
        <v>8417.0198482290671</v>
      </c>
      <c r="J32" s="998">
        <f>SUM(D33:D34)</f>
        <v>0.34599999999999997</v>
      </c>
    </row>
    <row r="33" spans="1:12" ht="16.5" customHeight="1">
      <c r="A33" s="1019" t="s">
        <v>61</v>
      </c>
      <c r="B33" s="1020" t="s">
        <v>965</v>
      </c>
      <c r="C33" s="1014">
        <v>813.31100000000004</v>
      </c>
      <c r="D33" s="1015">
        <v>9.2999999999999999E-2</v>
      </c>
      <c r="E33" s="1016" t="s">
        <v>292</v>
      </c>
      <c r="G33" s="69" t="s">
        <v>966</v>
      </c>
      <c r="H33" s="994">
        <f t="shared" si="0"/>
        <v>8745.2795698924729</v>
      </c>
    </row>
    <row r="34" spans="1:12" ht="16.5" customHeight="1">
      <c r="A34" s="1019" t="s">
        <v>62</v>
      </c>
      <c r="B34" s="1021" t="s">
        <v>967</v>
      </c>
      <c r="C34" s="1022">
        <f>C32-C33</f>
        <v>2203.9690000000001</v>
      </c>
      <c r="D34" s="1015">
        <f>D32-D33</f>
        <v>0.253</v>
      </c>
      <c r="E34" s="1016" t="s">
        <v>292</v>
      </c>
      <c r="F34" s="69" t="s">
        <v>968</v>
      </c>
      <c r="G34" s="1023">
        <v>2203.9690000000001</v>
      </c>
      <c r="H34" s="994">
        <f t="shared" si="0"/>
        <v>8711.3399209486161</v>
      </c>
    </row>
    <row r="35" spans="1:12" ht="15.6">
      <c r="A35" s="2909">
        <f>A32+1</f>
        <v>2</v>
      </c>
      <c r="B35" s="2909" t="s">
        <v>969</v>
      </c>
      <c r="C35" s="1024">
        <v>19763</v>
      </c>
      <c r="D35" s="1025">
        <v>2.5099999999999998</v>
      </c>
      <c r="E35" s="1016" t="s">
        <v>292</v>
      </c>
      <c r="F35" s="69" t="s">
        <v>970</v>
      </c>
      <c r="G35" s="1023">
        <v>0.253</v>
      </c>
      <c r="H35" s="994">
        <f t="shared" si="0"/>
        <v>7873.7051792828688</v>
      </c>
      <c r="I35" s="69" t="s">
        <v>292</v>
      </c>
      <c r="J35" s="69">
        <v>21700</v>
      </c>
      <c r="K35" s="69">
        <v>2.56</v>
      </c>
      <c r="L35" s="69" t="s">
        <v>971</v>
      </c>
    </row>
    <row r="36" spans="1:12" ht="15.6">
      <c r="A36" s="2909"/>
      <c r="B36" s="2909"/>
      <c r="C36" s="1024">
        <v>360</v>
      </c>
      <c r="D36" s="1025">
        <v>0.04</v>
      </c>
      <c r="E36" s="993" t="s">
        <v>218</v>
      </c>
      <c r="F36" s="998">
        <f>SUM(D35:D36)</f>
        <v>2.5499999999999998</v>
      </c>
      <c r="G36" s="1026">
        <f>G34/G35</f>
        <v>8711.3399209486161</v>
      </c>
      <c r="H36" s="994">
        <f t="shared" si="0"/>
        <v>9000</v>
      </c>
      <c r="I36" s="69" t="s">
        <v>348</v>
      </c>
      <c r="J36" s="69">
        <v>360</v>
      </c>
      <c r="K36" s="69">
        <v>0.04</v>
      </c>
    </row>
    <row r="37" spans="1:12" ht="46.8">
      <c r="A37" s="1012">
        <f>A35+1</f>
        <v>3</v>
      </c>
      <c r="B37" s="1027" t="s">
        <v>972</v>
      </c>
      <c r="C37" s="1028">
        <v>531.55799999999999</v>
      </c>
      <c r="D37" s="1025">
        <v>7.3999999999999996E-2</v>
      </c>
      <c r="E37" s="1016" t="s">
        <v>280</v>
      </c>
      <c r="H37" s="994">
        <f t="shared" si="0"/>
        <v>7183.2162162162167</v>
      </c>
      <c r="J37" s="69">
        <f>SUM(J35:J36)</f>
        <v>22060</v>
      </c>
      <c r="K37" s="1029">
        <f>SUM(K35:K36)</f>
        <v>2.6</v>
      </c>
    </row>
    <row r="38" spans="1:12" ht="54" customHeight="1">
      <c r="A38" s="1012">
        <f t="shared" ref="A38:A44" si="1">A37+1</f>
        <v>4</v>
      </c>
      <c r="B38" s="1013" t="s">
        <v>973</v>
      </c>
      <c r="C38" s="999">
        <v>2540</v>
      </c>
      <c r="D38" s="989">
        <f>D46+D45</f>
        <v>0.38599999999999995</v>
      </c>
      <c r="E38" s="1016" t="s">
        <v>292</v>
      </c>
      <c r="H38" s="994">
        <f t="shared" si="0"/>
        <v>6580.3108808290162</v>
      </c>
    </row>
    <row r="39" spans="1:12" ht="26.25" hidden="1" customHeight="1">
      <c r="A39" s="1012">
        <f t="shared" si="1"/>
        <v>5</v>
      </c>
      <c r="B39" s="1013"/>
      <c r="C39" s="999"/>
      <c r="D39" s="989"/>
      <c r="E39" s="1016" t="s">
        <v>292</v>
      </c>
      <c r="H39" s="994" t="e">
        <f t="shared" si="0"/>
        <v>#DIV/0!</v>
      </c>
    </row>
    <row r="40" spans="1:12" ht="35.1" hidden="1" customHeight="1">
      <c r="A40" s="1012">
        <f t="shared" si="1"/>
        <v>6</v>
      </c>
      <c r="B40" s="1013"/>
      <c r="C40" s="999"/>
      <c r="D40" s="989"/>
      <c r="E40" s="1016" t="s">
        <v>292</v>
      </c>
      <c r="H40" s="994" t="e">
        <f t="shared" si="0"/>
        <v>#DIV/0!</v>
      </c>
    </row>
    <row r="41" spans="1:12" ht="35.1" hidden="1" customHeight="1">
      <c r="A41" s="1012">
        <f t="shared" si="1"/>
        <v>7</v>
      </c>
      <c r="B41" s="1013"/>
      <c r="C41" s="999"/>
      <c r="D41" s="989"/>
      <c r="E41" s="1016" t="s">
        <v>292</v>
      </c>
      <c r="H41" s="994" t="e">
        <f t="shared" si="0"/>
        <v>#DIV/0!</v>
      </c>
    </row>
    <row r="42" spans="1:12" ht="35.1" hidden="1" customHeight="1">
      <c r="A42" s="1012">
        <f t="shared" si="1"/>
        <v>8</v>
      </c>
      <c r="B42" s="1013"/>
      <c r="C42" s="999"/>
      <c r="D42" s="989"/>
      <c r="E42" s="1016" t="s">
        <v>292</v>
      </c>
      <c r="H42" s="994" t="e">
        <f t="shared" si="0"/>
        <v>#DIV/0!</v>
      </c>
    </row>
    <row r="43" spans="1:12" ht="35.25" hidden="1" customHeight="1">
      <c r="A43" s="1012">
        <f t="shared" si="1"/>
        <v>9</v>
      </c>
      <c r="B43" s="1013"/>
      <c r="C43" s="999"/>
      <c r="D43" s="989"/>
      <c r="E43" s="1016" t="s">
        <v>292</v>
      </c>
      <c r="H43" s="994" t="e">
        <f t="shared" si="0"/>
        <v>#DIV/0!</v>
      </c>
    </row>
    <row r="44" spans="1:12" ht="15.6" hidden="1">
      <c r="A44" s="1012">
        <f t="shared" si="1"/>
        <v>10</v>
      </c>
      <c r="B44" s="1013"/>
      <c r="C44" s="999"/>
      <c r="D44" s="989"/>
      <c r="E44" s="1016" t="s">
        <v>292</v>
      </c>
      <c r="H44" s="994" t="e">
        <f t="shared" si="0"/>
        <v>#DIV/0!</v>
      </c>
    </row>
    <row r="45" spans="1:12" ht="20.25" customHeight="1">
      <c r="A45" s="1019" t="s">
        <v>88</v>
      </c>
      <c r="B45" s="1020" t="s">
        <v>965</v>
      </c>
      <c r="C45" s="999">
        <v>674</v>
      </c>
      <c r="D45" s="989">
        <v>0.10199999999999999</v>
      </c>
      <c r="E45" s="1016" t="s">
        <v>292</v>
      </c>
      <c r="H45" s="994">
        <f t="shared" si="0"/>
        <v>6607.8431372549021</v>
      </c>
    </row>
    <row r="46" spans="1:12" ht="20.25" customHeight="1">
      <c r="A46" s="1019" t="s">
        <v>89</v>
      </c>
      <c r="B46" s="1021" t="s">
        <v>967</v>
      </c>
      <c r="C46" s="996">
        <f>C38-C45</f>
        <v>1866</v>
      </c>
      <c r="D46" s="1030">
        <v>0.28399999999999997</v>
      </c>
      <c r="E46" s="1016" t="s">
        <v>292</v>
      </c>
      <c r="H46" s="994">
        <f t="shared" si="0"/>
        <v>6570.422535211268</v>
      </c>
    </row>
    <row r="47" spans="1:12" s="1007" customFormat="1" ht="21" customHeight="1">
      <c r="A47" s="1003"/>
      <c r="B47" s="1005" t="s">
        <v>974</v>
      </c>
      <c r="C47" s="1005">
        <f>C33+C35+C36+C37+C45</f>
        <v>22141.869000000002</v>
      </c>
      <c r="D47" s="1005">
        <f>D33+D35+D36+D37+D45</f>
        <v>2.8189999999999995</v>
      </c>
      <c r="E47" s="1006"/>
      <c r="H47" s="994">
        <f>C47/D47</f>
        <v>7854.5118836466854</v>
      </c>
    </row>
    <row r="48" spans="1:12" s="1007" customFormat="1" ht="35.1" customHeight="1">
      <c r="A48" s="1031"/>
      <c r="B48" s="1032" t="s">
        <v>975</v>
      </c>
      <c r="C48" s="1033">
        <f>C30+C47</f>
        <v>31984.329000000002</v>
      </c>
      <c r="D48" s="1033">
        <f>D30+D47</f>
        <v>4.0701000000000001</v>
      </c>
      <c r="E48" s="1034"/>
      <c r="H48" s="994">
        <f>C48/D48</f>
        <v>7858.364413650771</v>
      </c>
    </row>
    <row r="49" spans="1:8" s="1007" customFormat="1" ht="15.6">
      <c r="A49" s="1035"/>
      <c r="B49" s="1036"/>
      <c r="C49" s="1037"/>
      <c r="D49" s="1037"/>
      <c r="E49" s="194"/>
      <c r="H49" s="1038"/>
    </row>
    <row r="50" spans="1:8" s="1007" customFormat="1" ht="15.6">
      <c r="A50" s="1035"/>
      <c r="B50" s="1036"/>
      <c r="C50" s="1037"/>
      <c r="D50" s="1037"/>
      <c r="E50" s="194"/>
      <c r="H50" s="1038"/>
    </row>
    <row r="51" spans="1:8" s="1007" customFormat="1" ht="15.6">
      <c r="A51" s="1035"/>
      <c r="B51" s="1036"/>
      <c r="C51" s="1037"/>
      <c r="D51" s="1037"/>
      <c r="E51" s="194"/>
      <c r="H51" s="1038"/>
    </row>
    <row r="52" spans="1:8" s="1007" customFormat="1" ht="15.6">
      <c r="A52" s="1035"/>
      <c r="B52" s="1036"/>
      <c r="C52" s="1037"/>
      <c r="D52" s="1037"/>
      <c r="E52" s="194"/>
      <c r="H52" s="1038"/>
    </row>
    <row r="53" spans="1:8" s="88" customFormat="1" ht="15.6">
      <c r="A53" s="1039" t="s">
        <v>976</v>
      </c>
      <c r="B53" s="1040"/>
      <c r="D53" s="1041"/>
      <c r="E53" s="1042"/>
      <c r="H53" s="973"/>
    </row>
    <row r="54" spans="1:8" s="1007" customFormat="1" ht="15.6">
      <c r="A54" s="1039" t="s">
        <v>761</v>
      </c>
      <c r="B54" s="1036"/>
      <c r="C54" s="1037"/>
      <c r="D54" s="1041" t="s">
        <v>733</v>
      </c>
      <c r="E54" s="194"/>
      <c r="H54" s="1038"/>
    </row>
    <row r="55" spans="1:8" s="93" customFormat="1" ht="15.6">
      <c r="A55" s="92"/>
      <c r="B55" s="1043"/>
      <c r="C55" s="1044"/>
      <c r="E55" s="1045"/>
      <c r="H55" s="1046"/>
    </row>
  </sheetData>
  <mergeCells count="3">
    <mergeCell ref="C11:D11"/>
    <mergeCell ref="A35:A36"/>
    <mergeCell ref="B35:B36"/>
  </mergeCells>
  <printOptions horizontalCentered="1"/>
  <pageMargins left="0.78740157480314965" right="0.59055118110236227" top="0.78740157480314965" bottom="0.39370078740157483" header="0.51181102362204722" footer="3.937007874015748E-2"/>
  <pageSetup paperSize="9" scale="85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3"/>
  <dimension ref="A1:N103"/>
  <sheetViews>
    <sheetView zoomScaleSheetLayoutView="100" workbookViewId="0">
      <pane ySplit="8" topLeftCell="A9" activePane="bottomLeft" state="frozen"/>
      <selection activeCell="K8" sqref="K8"/>
      <selection pane="bottomLeft" activeCell="K8" sqref="K8"/>
    </sheetView>
  </sheetViews>
  <sheetFormatPr defaultColWidth="9.109375" defaultRowHeight="13.2"/>
  <cols>
    <col min="1" max="1" width="35.5546875" style="28" customWidth="1"/>
    <col min="2" max="6" width="13.44140625" style="28" customWidth="1"/>
    <col min="7" max="7" width="9.109375" style="200"/>
    <col min="8" max="9" width="9.5546875" style="200" bestFit="1" customWidth="1"/>
    <col min="10" max="14" width="9.109375" style="200"/>
    <col min="15" max="16384" width="9.109375" style="28"/>
  </cols>
  <sheetData>
    <row r="1" spans="1:14" ht="17.399999999999999">
      <c r="A1" s="444" t="s">
        <v>730</v>
      </c>
      <c r="F1" s="445" t="s">
        <v>233</v>
      </c>
      <c r="G1" s="28">
        <v>160111.84900000002</v>
      </c>
      <c r="H1" s="486">
        <f>B10+B17+B30+B13</f>
        <v>160111.84900000002</v>
      </c>
      <c r="I1" s="486">
        <f>'Прилож.1-2012г.'!C48</f>
        <v>31984.329000000002</v>
      </c>
      <c r="J1" s="28" t="s">
        <v>979</v>
      </c>
      <c r="K1" s="28" t="s">
        <v>927</v>
      </c>
      <c r="L1" s="28"/>
      <c r="M1" s="28"/>
      <c r="N1" s="28"/>
    </row>
    <row r="2" spans="1:14" ht="20.399999999999999">
      <c r="A2" s="446" t="s">
        <v>457</v>
      </c>
      <c r="B2" s="447"/>
      <c r="C2" s="447"/>
      <c r="D2" s="447"/>
      <c r="E2" s="447"/>
      <c r="F2" s="447"/>
      <c r="G2" s="28">
        <v>31.67743997103705</v>
      </c>
      <c r="H2" s="1108">
        <f>B11+B18+B31+B14</f>
        <v>31.67743997103705</v>
      </c>
      <c r="I2" s="879">
        <f>'Прилож.1-2012г.'!D48</f>
        <v>4.0701000000000001</v>
      </c>
      <c r="J2" s="28"/>
      <c r="K2" s="28"/>
      <c r="L2" s="28"/>
      <c r="M2" s="28"/>
      <c r="N2" s="28"/>
    </row>
    <row r="3" spans="1:14" s="200" customFormat="1">
      <c r="A3" s="28"/>
      <c r="B3" s="28"/>
      <c r="C3" s="28"/>
      <c r="D3" s="28"/>
      <c r="E3" s="28"/>
      <c r="F3" s="28"/>
    </row>
    <row r="4" spans="1:14" ht="21.75" customHeight="1" thickBot="1">
      <c r="A4" s="448" t="s">
        <v>727</v>
      </c>
      <c r="B4" s="448"/>
      <c r="C4" s="448"/>
      <c r="D4" s="448"/>
      <c r="E4" s="448"/>
      <c r="F4" s="448"/>
      <c r="G4" s="28"/>
      <c r="H4" s="476"/>
      <c r="I4" s="28"/>
      <c r="J4" s="28"/>
      <c r="K4" s="28"/>
      <c r="L4" s="28"/>
      <c r="M4" s="28"/>
      <c r="N4" s="28"/>
    </row>
    <row r="5" spans="1:14">
      <c r="A5" s="2909" t="s">
        <v>458</v>
      </c>
      <c r="B5" s="2909"/>
      <c r="C5" s="2909"/>
      <c r="D5" s="2909"/>
      <c r="E5" s="2909"/>
      <c r="F5" s="2909"/>
      <c r="G5" s="28"/>
      <c r="H5" s="476" t="s">
        <v>608</v>
      </c>
      <c r="I5" s="28"/>
      <c r="J5" s="28"/>
      <c r="K5" s="28"/>
      <c r="L5" s="28">
        <v>34391.749000000003</v>
      </c>
      <c r="M5" s="28"/>
      <c r="N5" s="28"/>
    </row>
    <row r="6" spans="1:14" ht="15.6">
      <c r="F6" s="445"/>
      <c r="G6" s="28"/>
      <c r="H6" s="887">
        <f>'П1.30 - 07.06.11г.'!C8</f>
        <v>34391.749000000003</v>
      </c>
      <c r="I6" s="486">
        <f>B13+B17+B30</f>
        <v>34391.749000000003</v>
      </c>
      <c r="J6" s="486">
        <f>I6-H6</f>
        <v>0</v>
      </c>
      <c r="K6" s="28"/>
      <c r="L6" s="28">
        <v>4.3765000000000001</v>
      </c>
      <c r="M6" s="28"/>
      <c r="N6" s="28"/>
    </row>
    <row r="7" spans="1:14" ht="15.75" customHeight="1">
      <c r="A7" s="2909" t="s">
        <v>459</v>
      </c>
      <c r="B7" s="2909" t="s">
        <v>460</v>
      </c>
      <c r="C7" s="2909" t="s">
        <v>461</v>
      </c>
      <c r="D7" s="2909"/>
      <c r="E7" s="2909"/>
      <c r="F7" s="2909"/>
      <c r="G7" s="28"/>
      <c r="H7" s="888">
        <f>'П1.30 - 07.06.11г.'!D8</f>
        <v>4.3764999999999992</v>
      </c>
      <c r="I7" s="879">
        <f>B14+B18+B31</f>
        <v>4.3765000000000001</v>
      </c>
      <c r="J7" s="879">
        <f>I7-H7</f>
        <v>0</v>
      </c>
      <c r="K7" s="28"/>
      <c r="L7" s="28"/>
      <c r="M7" s="28"/>
      <c r="N7" s="28"/>
    </row>
    <row r="8" spans="1:14" ht="15.6">
      <c r="A8" s="2909"/>
      <c r="B8" s="2909"/>
      <c r="C8" s="449" t="s">
        <v>292</v>
      </c>
      <c r="D8" s="449" t="s">
        <v>217</v>
      </c>
      <c r="E8" s="449" t="s">
        <v>218</v>
      </c>
      <c r="F8" s="449" t="s">
        <v>280</v>
      </c>
      <c r="G8" s="28"/>
      <c r="H8" s="28"/>
      <c r="I8" s="28"/>
      <c r="J8" s="28"/>
      <c r="K8" s="28"/>
      <c r="L8" s="28"/>
      <c r="M8" s="28"/>
      <c r="N8" s="28"/>
    </row>
    <row r="9" spans="1:14" ht="21.75" customHeight="1">
      <c r="A9" s="451" t="s">
        <v>462</v>
      </c>
      <c r="B9" s="452"/>
      <c r="C9" s="452"/>
      <c r="D9" s="452"/>
      <c r="E9" s="452"/>
      <c r="F9" s="452"/>
      <c r="G9" s="28"/>
      <c r="H9" s="28"/>
      <c r="I9" s="28"/>
      <c r="J9" s="486">
        <f>-21700+19763+531.558+16.5+40-133.01</f>
        <v>-1481.952</v>
      </c>
      <c r="K9" s="28"/>
      <c r="L9" s="28"/>
      <c r="M9" s="28"/>
      <c r="N9" s="28"/>
    </row>
    <row r="10" spans="1:14" ht="23.25" customHeight="1">
      <c r="A10" s="453" t="s">
        <v>463</v>
      </c>
      <c r="B10" s="454">
        <f>SUM(C10:F10)</f>
        <v>125720.1</v>
      </c>
      <c r="C10" s="454">
        <v>123663.1</v>
      </c>
      <c r="D10" s="454">
        <v>825</v>
      </c>
      <c r="E10" s="454">
        <f>807</f>
        <v>807</v>
      </c>
      <c r="F10" s="454">
        <f>425</f>
        <v>425</v>
      </c>
      <c r="G10" s="28"/>
      <c r="H10" s="28"/>
      <c r="I10" s="85">
        <f>SUM(D10:F10)</f>
        <v>2057</v>
      </c>
      <c r="J10" s="885">
        <f>-2.51+2.51+0.074+0.0033+0.0053-0.01531</f>
        <v>6.7289999999999989E-2</v>
      </c>
      <c r="K10" s="28"/>
      <c r="L10" s="28"/>
      <c r="M10" s="28"/>
      <c r="N10" s="28"/>
    </row>
    <row r="11" spans="1:14" ht="23.25" customHeight="1">
      <c r="A11" s="457" t="s">
        <v>464</v>
      </c>
      <c r="B11" s="1065">
        <f>SUM(C11:F11)</f>
        <v>27.30093997103705</v>
      </c>
      <c r="C11" s="458">
        <v>27</v>
      </c>
      <c r="D11" s="458">
        <f>825/6942</f>
        <v>0.11884183232497839</v>
      </c>
      <c r="E11" s="458">
        <f>E10/6837</f>
        <v>0.11803422553751645</v>
      </c>
      <c r="F11" s="458">
        <f>F10/6634</f>
        <v>6.4063913174555315E-2</v>
      </c>
      <c r="G11" s="28"/>
      <c r="H11" s="28"/>
      <c r="I11" s="85">
        <f>I10+531.558+56.5</f>
        <v>2645.058</v>
      </c>
      <c r="J11" s="28"/>
      <c r="K11" s="28"/>
      <c r="L11" s="28"/>
      <c r="M11" s="28"/>
      <c r="N11" s="28"/>
    </row>
    <row r="12" spans="1:14" ht="21.75" customHeight="1">
      <c r="A12" s="451" t="s">
        <v>465</v>
      </c>
      <c r="B12" s="459"/>
      <c r="C12" s="459"/>
      <c r="D12" s="459"/>
      <c r="E12" s="452"/>
      <c r="F12" s="452"/>
      <c r="G12" s="28"/>
      <c r="H12" s="486">
        <f>C10+C17</f>
        <v>128603.74</v>
      </c>
      <c r="I12" s="28"/>
      <c r="J12" s="28"/>
      <c r="K12" s="28"/>
      <c r="L12" s="28"/>
      <c r="M12" s="28"/>
      <c r="N12" s="28"/>
    </row>
    <row r="13" spans="1:14" ht="23.25" customHeight="1">
      <c r="A13" s="453" t="s">
        <v>463</v>
      </c>
      <c r="B13" s="1064">
        <f>ROUND((B17+B30)/(1-7/100)*7/100,2)</f>
        <v>2407.42</v>
      </c>
      <c r="C13" s="1064"/>
      <c r="D13" s="458"/>
      <c r="E13" s="454"/>
      <c r="F13" s="454"/>
      <c r="G13" s="28"/>
      <c r="H13" s="28"/>
      <c r="I13" s="28"/>
      <c r="J13" s="28"/>
      <c r="K13" s="28"/>
      <c r="L13" s="28"/>
      <c r="M13" s="28"/>
      <c r="N13" s="28"/>
    </row>
    <row r="14" spans="1:14" ht="23.25" customHeight="1">
      <c r="A14" s="457" t="s">
        <v>464</v>
      </c>
      <c r="B14" s="1065">
        <f>ROUND((B18+B31)/(1-7/100)*7/100,4)</f>
        <v>0.30640000000000001</v>
      </c>
      <c r="C14" s="1065"/>
      <c r="D14" s="458"/>
      <c r="E14" s="458"/>
      <c r="F14" s="458"/>
      <c r="G14" s="28"/>
      <c r="H14" s="28"/>
      <c r="I14" s="28"/>
      <c r="J14" s="28"/>
      <c r="K14" s="28"/>
      <c r="L14" s="28"/>
      <c r="M14" s="28"/>
      <c r="N14" s="28"/>
    </row>
    <row r="15" spans="1:14" ht="21.75" customHeight="1">
      <c r="A15" s="460" t="s">
        <v>466</v>
      </c>
      <c r="B15" s="461"/>
      <c r="C15" s="462"/>
      <c r="D15" s="461"/>
      <c r="E15" s="461"/>
      <c r="F15" s="461"/>
      <c r="G15" s="28"/>
      <c r="H15" s="28"/>
      <c r="I15" s="28"/>
      <c r="J15" s="28"/>
      <c r="K15" s="28"/>
      <c r="L15" s="28"/>
      <c r="M15" s="28"/>
      <c r="N15" s="28"/>
    </row>
    <row r="16" spans="1:14" ht="14.25" customHeight="1">
      <c r="A16" s="463" t="s">
        <v>467</v>
      </c>
      <c r="B16" s="463"/>
      <c r="C16" s="463"/>
      <c r="D16" s="463"/>
      <c r="E16" s="463"/>
      <c r="F16" s="463"/>
      <c r="G16" s="28"/>
      <c r="H16" s="28"/>
      <c r="I16" s="28"/>
      <c r="J16" s="28"/>
      <c r="K16" s="28"/>
      <c r="L16" s="28"/>
      <c r="M16" s="28"/>
      <c r="N16" s="28"/>
    </row>
    <row r="17" spans="1:14" ht="23.25" customHeight="1">
      <c r="A17" s="288" t="s">
        <v>463</v>
      </c>
      <c r="B17" s="1066">
        <f>SUM(C17:F17)</f>
        <v>9842.4599999999991</v>
      </c>
      <c r="C17" s="1066">
        <f t="shared" ref="C17:F18" si="0">C21+C24+C27</f>
        <v>4940.6400000000003</v>
      </c>
      <c r="D17" s="75">
        <f t="shared" si="0"/>
        <v>0</v>
      </c>
      <c r="E17" s="1067">
        <f t="shared" si="0"/>
        <v>4659.2999999999993</v>
      </c>
      <c r="F17" s="1067">
        <f t="shared" si="0"/>
        <v>242.52</v>
      </c>
      <c r="H17" s="1079">
        <f>C17+C30</f>
        <v>26190.951000000001</v>
      </c>
    </row>
    <row r="18" spans="1:14" ht="23.25" customHeight="1">
      <c r="A18" s="466" t="s">
        <v>464</v>
      </c>
      <c r="B18" s="1068">
        <f>SUM(C18:F18)</f>
        <v>1.2510999999999999</v>
      </c>
      <c r="C18" s="1068">
        <f t="shared" si="0"/>
        <v>0.60329999999999995</v>
      </c>
      <c r="D18" s="75">
        <f t="shared" si="0"/>
        <v>0</v>
      </c>
      <c r="E18" s="1069">
        <f t="shared" si="0"/>
        <v>0.60309999999999997</v>
      </c>
      <c r="F18" s="1069">
        <f t="shared" si="0"/>
        <v>4.4699999999999997E-2</v>
      </c>
      <c r="H18" s="1080">
        <f>C18+C31</f>
        <v>3.3083</v>
      </c>
    </row>
    <row r="19" spans="1:14" ht="14.25" customHeight="1">
      <c r="A19" s="469" t="s">
        <v>251</v>
      </c>
      <c r="B19" s="469"/>
      <c r="C19" s="469"/>
      <c r="D19" s="469"/>
      <c r="E19" s="469"/>
      <c r="F19" s="469"/>
    </row>
    <row r="20" spans="1:14" ht="19.5" customHeight="1">
      <c r="A20" s="470" t="s">
        <v>468</v>
      </c>
      <c r="B20" s="471"/>
      <c r="C20" s="471"/>
      <c r="D20" s="471"/>
      <c r="E20" s="471"/>
      <c r="F20" s="472"/>
    </row>
    <row r="21" spans="1:14" ht="23.25" customHeight="1">
      <c r="A21" s="453" t="s">
        <v>463</v>
      </c>
      <c r="B21" s="1063">
        <f>SUM(C21:F21)</f>
        <v>9632.73</v>
      </c>
      <c r="C21" s="1063">
        <f>'стр-ра пол.отп. 2012г.июнь'!C14</f>
        <v>4940.6400000000003</v>
      </c>
      <c r="D21" s="75">
        <f>'стр-ра пол.отп. 2012г.июнь'!D14</f>
        <v>0</v>
      </c>
      <c r="E21" s="1063">
        <f>'стр-ра пол.отп. 2012г.июнь'!E14</f>
        <v>4637.9399999999996</v>
      </c>
      <c r="F21" s="1063">
        <f>'стр-ра пол.отп. 2012г.июнь'!F14</f>
        <v>54.15</v>
      </c>
    </row>
    <row r="22" spans="1:14" ht="23.25" customHeight="1">
      <c r="A22" s="457" t="s">
        <v>464</v>
      </c>
      <c r="B22" s="1062">
        <f>SUM(C22:F22)</f>
        <v>1.2093</v>
      </c>
      <c r="C22" s="1062">
        <f>'стр-ра пол.отп. 2012г.июнь'!C15</f>
        <v>0.60329999999999995</v>
      </c>
      <c r="D22" s="75">
        <f>'стр-ра пол.отп. 2012г.июнь'!D15</f>
        <v>0</v>
      </c>
      <c r="E22" s="1062">
        <f>'стр-ра пол.отп. 2012г.июнь'!E15</f>
        <v>0.5988</v>
      </c>
      <c r="F22" s="1062">
        <f>'стр-ра пол.отп. 2012г.июнь'!F15</f>
        <v>7.1999999999999998E-3</v>
      </c>
    </row>
    <row r="23" spans="1:14" ht="30.75" customHeight="1">
      <c r="A23" s="2909" t="s">
        <v>618</v>
      </c>
      <c r="B23" s="2909"/>
      <c r="C23" s="2909"/>
      <c r="D23" s="2909"/>
      <c r="E23" s="2909"/>
      <c r="F23" s="2909"/>
    </row>
    <row r="24" spans="1:14" ht="47.25" customHeight="1">
      <c r="A24" s="453" t="s">
        <v>463</v>
      </c>
      <c r="B24" s="1063">
        <f>SUM(C24:F24)</f>
        <v>209.73000000000002</v>
      </c>
      <c r="C24" s="75">
        <v>0</v>
      </c>
      <c r="D24" s="75">
        <v>0</v>
      </c>
      <c r="E24" s="1063">
        <f>'стр-ра пол.отп. 2012г.июнь'!E17</f>
        <v>21.36</v>
      </c>
      <c r="F24" s="1063">
        <f>'стр-ра пол.отп. 2012г.июнь'!F17</f>
        <v>188.37</v>
      </c>
    </row>
    <row r="25" spans="1:14" ht="23.25" customHeight="1">
      <c r="A25" s="457" t="s">
        <v>464</v>
      </c>
      <c r="B25" s="1062">
        <f>SUM(C25:F25)</f>
        <v>4.1799999999999997E-2</v>
      </c>
      <c r="C25" s="75">
        <v>0</v>
      </c>
      <c r="D25" s="75">
        <v>0</v>
      </c>
      <c r="E25" s="1062">
        <f>'стр-ра пол.отп. 2012г.июнь'!E18</f>
        <v>4.3E-3</v>
      </c>
      <c r="F25" s="1062">
        <f>'стр-ра пол.отп. 2012г.июнь'!F18</f>
        <v>3.7499999999999999E-2</v>
      </c>
      <c r="G25" s="886">
        <f>B24/B25</f>
        <v>5017.4641148325363</v>
      </c>
      <c r="H25" s="886">
        <f>E24/E25</f>
        <v>4967.4418604651164</v>
      </c>
      <c r="I25" s="886">
        <f>F24/F25</f>
        <v>5023.2000000000007</v>
      </c>
    </row>
    <row r="26" spans="1:14" ht="49.5" customHeight="1">
      <c r="A26" s="2909" t="s">
        <v>619</v>
      </c>
      <c r="B26" s="2909"/>
      <c r="C26" s="2909"/>
      <c r="D26" s="2909"/>
      <c r="E26" s="2909"/>
      <c r="F26" s="2909"/>
    </row>
    <row r="27" spans="1:14" ht="23.25" customHeight="1">
      <c r="A27" s="453" t="s">
        <v>463</v>
      </c>
      <c r="B27" s="1070">
        <f>SUM(C27:F27)</f>
        <v>0</v>
      </c>
      <c r="C27" s="456"/>
      <c r="D27" s="883"/>
      <c r="E27" s="883"/>
      <c r="F27" s="454"/>
    </row>
    <row r="28" spans="1:14" ht="23.25" customHeight="1">
      <c r="A28" s="457" t="s">
        <v>464</v>
      </c>
      <c r="B28" s="878">
        <f>SUM(C28:F28)</f>
        <v>0</v>
      </c>
      <c r="C28" s="455"/>
      <c r="D28" s="884"/>
      <c r="E28" s="884"/>
      <c r="F28" s="458"/>
    </row>
    <row r="29" spans="1:14" ht="21.75" customHeight="1">
      <c r="A29" s="473" t="s">
        <v>469</v>
      </c>
      <c r="B29" s="469"/>
      <c r="C29" s="469"/>
      <c r="D29" s="469"/>
      <c r="E29" s="469"/>
      <c r="F29" s="469"/>
    </row>
    <row r="30" spans="1:14" ht="23.25" customHeight="1">
      <c r="A30" s="453" t="s">
        <v>463</v>
      </c>
      <c r="B30" s="468">
        <f>SUM(C30:F30)</f>
        <v>22141.869000000002</v>
      </c>
      <c r="C30" s="882">
        <f>23187.311-21700+19763</f>
        <v>21250.311000000002</v>
      </c>
      <c r="D30" s="75">
        <v>0</v>
      </c>
      <c r="E30" s="1064">
        <v>360</v>
      </c>
      <c r="F30" s="882">
        <f>531.558</f>
        <v>531.55799999999999</v>
      </c>
      <c r="I30" s="659">
        <v>23680.321</v>
      </c>
    </row>
    <row r="31" spans="1:14" ht="23.25" customHeight="1">
      <c r="A31" s="457" t="s">
        <v>464</v>
      </c>
      <c r="B31" s="1069">
        <f>SUM(C31:F31)</f>
        <v>2.819</v>
      </c>
      <c r="C31" s="881">
        <f>2.705-2.51+2.51</f>
        <v>2.7050000000000001</v>
      </c>
      <c r="D31" s="75">
        <v>0</v>
      </c>
      <c r="E31" s="1065">
        <v>0.04</v>
      </c>
      <c r="F31" s="881">
        <f>0.074</f>
        <v>7.3999999999999996E-2</v>
      </c>
      <c r="I31" s="379">
        <v>2.7603135126301153</v>
      </c>
    </row>
    <row r="32" spans="1:14" s="476" customFormat="1" ht="15.75" customHeight="1">
      <c r="A32" s="474"/>
      <c r="B32" s="474"/>
      <c r="C32" s="474"/>
      <c r="D32" s="474"/>
      <c r="E32" s="474"/>
      <c r="F32" s="474"/>
      <c r="G32" s="475"/>
      <c r="H32" s="475"/>
      <c r="I32" s="475"/>
      <c r="J32" s="475"/>
      <c r="K32" s="475"/>
      <c r="L32" s="475"/>
      <c r="M32" s="475"/>
      <c r="N32" s="475"/>
    </row>
    <row r="33" spans="1:14" s="476" customFormat="1" ht="15.75" customHeight="1">
      <c r="G33" s="475"/>
      <c r="H33" s="475"/>
      <c r="I33" s="475"/>
      <c r="J33" s="475"/>
      <c r="K33" s="475"/>
      <c r="L33" s="475"/>
      <c r="M33" s="475"/>
      <c r="N33" s="475"/>
    </row>
    <row r="34" spans="1:14" s="391" customFormat="1" ht="15.75" customHeight="1">
      <c r="C34" s="477"/>
      <c r="E34" s="478"/>
      <c r="G34" s="479"/>
      <c r="H34" s="479"/>
      <c r="I34" s="479"/>
      <c r="J34" s="479"/>
      <c r="K34" s="479"/>
      <c r="L34" s="479"/>
      <c r="M34" s="479"/>
      <c r="N34" s="479"/>
    </row>
    <row r="35" spans="1:14" s="391" customFormat="1" ht="15.75" customHeight="1">
      <c r="A35" s="94" t="s">
        <v>235</v>
      </c>
      <c r="B35" s="94"/>
      <c r="C35" s="94"/>
      <c r="D35" s="92" t="s">
        <v>731</v>
      </c>
      <c r="E35" s="94"/>
      <c r="F35" s="94"/>
      <c r="G35" s="479"/>
      <c r="H35" s="479"/>
      <c r="I35" s="479"/>
      <c r="J35" s="479"/>
      <c r="K35" s="479"/>
      <c r="L35" s="479"/>
      <c r="M35" s="479"/>
      <c r="N35" s="479"/>
    </row>
    <row r="36" spans="1:14" s="391" customFormat="1" ht="15.75" customHeight="1">
      <c r="A36" s="94" t="s">
        <v>620</v>
      </c>
      <c r="B36" s="94"/>
      <c r="C36" s="94"/>
      <c r="D36" s="443" t="s">
        <v>758</v>
      </c>
      <c r="E36" s="94"/>
      <c r="F36" s="94"/>
      <c r="G36" s="479"/>
      <c r="H36" s="479"/>
      <c r="I36" s="479"/>
      <c r="J36" s="479"/>
      <c r="K36" s="479"/>
      <c r="L36" s="479"/>
      <c r="M36" s="479"/>
      <c r="N36" s="479"/>
    </row>
    <row r="37" spans="1:14" s="391" customFormat="1" ht="19.5" customHeight="1">
      <c r="B37" s="94"/>
      <c r="C37" s="94"/>
      <c r="D37" s="17" t="s">
        <v>727</v>
      </c>
      <c r="E37" s="94"/>
      <c r="F37" s="94"/>
      <c r="G37" s="479"/>
      <c r="H37" s="479"/>
      <c r="I37" s="479"/>
      <c r="J37" s="479"/>
      <c r="K37" s="479"/>
      <c r="L37" s="479"/>
      <c r="M37" s="479"/>
      <c r="N37" s="479"/>
    </row>
    <row r="38" spans="1:14" s="391" customFormat="1" ht="15.75" customHeight="1">
      <c r="B38" s="94"/>
      <c r="C38" s="94"/>
      <c r="E38" s="481"/>
      <c r="F38" s="230"/>
      <c r="G38" s="479"/>
      <c r="H38" s="479"/>
      <c r="I38" s="479"/>
      <c r="J38" s="479"/>
      <c r="K38" s="479"/>
      <c r="L38" s="479"/>
      <c r="M38" s="479"/>
      <c r="N38" s="479"/>
    </row>
    <row r="39" spans="1:14" ht="15.6">
      <c r="A39" s="94" t="s">
        <v>621</v>
      </c>
      <c r="B39" s="120"/>
      <c r="C39" s="120"/>
      <c r="D39" s="443" t="s">
        <v>759</v>
      </c>
      <c r="E39" s="120"/>
      <c r="F39" s="120"/>
    </row>
    <row r="40" spans="1:14">
      <c r="A40" s="480" t="s">
        <v>470</v>
      </c>
      <c r="B40" s="200"/>
      <c r="C40" s="200"/>
      <c r="D40" s="480" t="s">
        <v>471</v>
      </c>
      <c r="E40" s="200"/>
      <c r="F40" s="482"/>
    </row>
    <row r="41" spans="1:14">
      <c r="A41" s="483"/>
      <c r="B41" s="484"/>
      <c r="C41" s="379"/>
      <c r="D41" s="450"/>
      <c r="E41" s="379"/>
      <c r="F41" s="482"/>
    </row>
    <row r="42" spans="1:14">
      <c r="A42" s="485"/>
      <c r="B42" s="484"/>
      <c r="C42" s="379"/>
      <c r="D42" s="450"/>
      <c r="E42" s="379"/>
      <c r="F42" s="482"/>
    </row>
    <row r="43" spans="1:14">
      <c r="A43" s="200"/>
      <c r="B43" s="450"/>
      <c r="C43" s="450"/>
      <c r="D43" s="450"/>
      <c r="E43" s="379"/>
      <c r="F43" s="482"/>
    </row>
    <row r="44" spans="1:14">
      <c r="A44" s="200"/>
      <c r="B44" s="200"/>
      <c r="C44" s="379"/>
      <c r="D44" s="200"/>
      <c r="E44" s="200"/>
      <c r="F44" s="200"/>
    </row>
    <row r="46" spans="1:14">
      <c r="A46" s="200"/>
    </row>
    <row r="102" spans="4:14">
      <c r="D102" s="35" t="e">
        <f>D127+#REF!</f>
        <v>#REF!</v>
      </c>
      <c r="E102" s="486" t="e">
        <f>E127+#REF!</f>
        <v>#REF!</v>
      </c>
      <c r="G102" s="28"/>
      <c r="H102" s="28"/>
      <c r="I102" s="28"/>
      <c r="J102" s="28"/>
      <c r="K102" s="28"/>
      <c r="L102" s="28"/>
      <c r="M102" s="28"/>
      <c r="N102" s="28"/>
    </row>
    <row r="103" spans="4:14">
      <c r="E103" s="486"/>
      <c r="G103" s="28"/>
      <c r="H103" s="28"/>
      <c r="I103" s="28"/>
      <c r="J103" s="28"/>
      <c r="K103" s="28"/>
      <c r="L103" s="28"/>
      <c r="M103" s="28"/>
      <c r="N103" s="28"/>
    </row>
  </sheetData>
  <mergeCells count="6">
    <mergeCell ref="A23:F23"/>
    <mergeCell ref="A26:F26"/>
    <mergeCell ref="A5:F5"/>
    <mergeCell ref="A7:A8"/>
    <mergeCell ref="B7:B8"/>
    <mergeCell ref="C7:F7"/>
  </mergeCells>
  <printOptions horizontalCentered="1"/>
  <pageMargins left="0.98402777777777783" right="0.98402777777777783" top="0.78749999999999998" bottom="0.11805555555555557" header="0.51180555555555562" footer="0.51180555555555562"/>
  <pageSetup paperSize="9" scale="77" firstPageNumber="0" orientation="portrait" horizontalDpi="300" verticalDpi="300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4">
    <tabColor rgb="FFFF0000"/>
  </sheetPr>
  <dimension ref="A1:J46"/>
  <sheetViews>
    <sheetView topLeftCell="A13" zoomScaleSheetLayoutView="75" workbookViewId="0">
      <selection activeCell="K8" sqref="K8"/>
    </sheetView>
  </sheetViews>
  <sheetFormatPr defaultColWidth="9.109375" defaultRowHeight="13.2"/>
  <cols>
    <col min="1" max="1" width="36.6640625" style="894" customWidth="1"/>
    <col min="2" max="2" width="17.88671875" style="894" customWidth="1"/>
    <col min="3" max="3" width="19" style="894" customWidth="1"/>
    <col min="4" max="4" width="18" style="894" customWidth="1"/>
    <col min="5" max="5" width="17.88671875" style="894" customWidth="1"/>
    <col min="6" max="6" width="19.33203125" style="894" customWidth="1"/>
    <col min="7" max="7" width="9.6640625" style="894" customWidth="1"/>
    <col min="8" max="8" width="10.6640625" style="894" bestFit="1" customWidth="1"/>
    <col min="9" max="9" width="9.109375" style="894"/>
    <col min="10" max="10" width="11.33203125" style="894" bestFit="1" customWidth="1"/>
    <col min="11" max="16384" width="9.109375" style="894"/>
  </cols>
  <sheetData>
    <row r="1" spans="1:10" ht="28.5" customHeight="1">
      <c r="A1" s="893"/>
      <c r="E1" s="2909" t="s">
        <v>928</v>
      </c>
      <c r="F1" s="2909"/>
      <c r="G1" s="895" t="s">
        <v>929</v>
      </c>
      <c r="H1" s="895" t="s">
        <v>608</v>
      </c>
      <c r="I1" s="895"/>
      <c r="J1" s="895" t="s">
        <v>930</v>
      </c>
    </row>
    <row r="2" spans="1:10" ht="23.25" customHeight="1">
      <c r="A2" s="2909" t="s">
        <v>931</v>
      </c>
      <c r="B2" s="2909"/>
      <c r="C2" s="2909"/>
      <c r="D2" s="2909"/>
      <c r="E2" s="2909"/>
      <c r="F2" s="2909"/>
      <c r="G2" s="896"/>
      <c r="H2" s="897">
        <f>B10+B26+'2012 Баланс  '!B30</f>
        <v>34391.749000000003</v>
      </c>
      <c r="I2" s="895"/>
      <c r="J2" s="898">
        <f>H2+B23</f>
        <v>36914.659</v>
      </c>
    </row>
    <row r="3" spans="1:10" ht="24" customHeight="1">
      <c r="A3" s="2909" t="s">
        <v>932</v>
      </c>
      <c r="B3" s="2909"/>
      <c r="C3" s="2909"/>
      <c r="D3" s="2909"/>
      <c r="E3" s="2909"/>
      <c r="F3" s="2909"/>
      <c r="G3" s="896"/>
      <c r="H3" s="1073">
        <f>B11+B27+'2012 Баланс  '!B31</f>
        <v>4.3765000000000001</v>
      </c>
      <c r="I3" s="895"/>
      <c r="J3" s="898">
        <f>H3+B24</f>
        <v>4.7465000000000002</v>
      </c>
    </row>
    <row r="4" spans="1:10" ht="16.5" customHeight="1">
      <c r="A4" s="2909" t="s">
        <v>458</v>
      </c>
      <c r="B4" s="2909"/>
      <c r="C4" s="2909"/>
      <c r="D4" s="2909"/>
      <c r="E4" s="2909"/>
      <c r="F4" s="2909"/>
      <c r="G4" s="896"/>
    </row>
    <row r="5" spans="1:10" ht="8.25" customHeight="1" thickBot="1">
      <c r="A5" s="899"/>
      <c r="B5" s="899"/>
      <c r="C5" s="899"/>
      <c r="D5" s="899"/>
      <c r="E5" s="899"/>
      <c r="F5" s="899"/>
      <c r="G5" s="896"/>
    </row>
    <row r="6" spans="1:10" ht="24" customHeight="1" thickBot="1">
      <c r="A6" s="2909" t="s">
        <v>459</v>
      </c>
      <c r="B6" s="2909" t="s">
        <v>279</v>
      </c>
      <c r="C6" s="2909" t="s">
        <v>461</v>
      </c>
      <c r="D6" s="2909"/>
      <c r="E6" s="2909"/>
      <c r="F6" s="2909"/>
      <c r="G6" s="900"/>
      <c r="J6" s="901">
        <f>H2+B23</f>
        <v>36914.659</v>
      </c>
    </row>
    <row r="7" spans="1:10" ht="45" customHeight="1" thickBot="1">
      <c r="A7" s="2909"/>
      <c r="B7" s="2909"/>
      <c r="C7" s="902" t="s">
        <v>292</v>
      </c>
      <c r="D7" s="902" t="s">
        <v>217</v>
      </c>
      <c r="E7" s="902" t="s">
        <v>218</v>
      </c>
      <c r="F7" s="903" t="s">
        <v>280</v>
      </c>
      <c r="G7" s="904" t="s">
        <v>946</v>
      </c>
      <c r="H7" s="905"/>
      <c r="J7" s="906">
        <f>H3+B24</f>
        <v>4.7465000000000002</v>
      </c>
    </row>
    <row r="8" spans="1:10" ht="31.5" customHeight="1">
      <c r="A8" s="2909" t="s">
        <v>1099</v>
      </c>
      <c r="B8" s="2909"/>
      <c r="C8" s="2909"/>
      <c r="D8" s="2909"/>
      <c r="E8" s="2909"/>
      <c r="F8" s="2909"/>
      <c r="G8" s="904">
        <f>4940.64+4637.94+21.36+54.15+188.37</f>
        <v>9842.4600000000009</v>
      </c>
      <c r="H8" s="904">
        <f>0.6033+0.5988+0.0043+0.0072+0.0375</f>
        <v>1.2511000000000001</v>
      </c>
    </row>
    <row r="9" spans="1:10" ht="24" customHeight="1" thickBot="1">
      <c r="A9" s="2909" t="s">
        <v>467</v>
      </c>
      <c r="B9" s="2909"/>
      <c r="C9" s="2909"/>
      <c r="D9" s="2909"/>
      <c r="E9" s="2909"/>
      <c r="F9" s="2909"/>
      <c r="G9" s="907"/>
    </row>
    <row r="10" spans="1:10" ht="37.5" customHeight="1">
      <c r="A10" s="908" t="s">
        <v>933</v>
      </c>
      <c r="B10" s="966">
        <f>SUM(C10:F10)</f>
        <v>9842.4599999999991</v>
      </c>
      <c r="C10" s="966">
        <f>C14+C17+C20</f>
        <v>4940.6400000000003</v>
      </c>
      <c r="D10" s="966">
        <f t="shared" ref="D10:F11" si="0">D14+D17+D20</f>
        <v>0</v>
      </c>
      <c r="E10" s="966">
        <f t="shared" si="0"/>
        <v>4659.2999999999993</v>
      </c>
      <c r="F10" s="967">
        <f t="shared" si="0"/>
        <v>242.52</v>
      </c>
      <c r="G10" s="907"/>
    </row>
    <row r="11" spans="1:10" ht="34.5" customHeight="1" thickBot="1">
      <c r="A11" s="909" t="s">
        <v>464</v>
      </c>
      <c r="B11" s="968">
        <f>SUM(C11:F11)</f>
        <v>1.2510999999999999</v>
      </c>
      <c r="C11" s="968">
        <f>C15+C18+C21</f>
        <v>0.60329999999999995</v>
      </c>
      <c r="D11" s="968">
        <f t="shared" si="0"/>
        <v>0</v>
      </c>
      <c r="E11" s="968">
        <f t="shared" si="0"/>
        <v>0.60309999999999997</v>
      </c>
      <c r="F11" s="969">
        <f t="shared" si="0"/>
        <v>4.4699999999999997E-2</v>
      </c>
      <c r="G11" s="907"/>
      <c r="H11" s="910">
        <f>B10/B11</f>
        <v>7867.0450003996484</v>
      </c>
    </row>
    <row r="12" spans="1:10" ht="25.5" customHeight="1">
      <c r="A12" s="2909" t="s">
        <v>934</v>
      </c>
      <c r="B12" s="2909"/>
      <c r="C12" s="2909"/>
      <c r="D12" s="2909"/>
      <c r="E12" s="2909"/>
      <c r="F12" s="2909"/>
      <c r="G12" s="907"/>
    </row>
    <row r="13" spans="1:10" ht="31.5" customHeight="1" thickBot="1">
      <c r="A13" s="2909" t="s">
        <v>935</v>
      </c>
      <c r="B13" s="2909"/>
      <c r="C13" s="2909"/>
      <c r="D13" s="2909"/>
      <c r="E13" s="2909"/>
      <c r="F13" s="2909"/>
      <c r="G13" s="907"/>
      <c r="H13" s="911" t="s">
        <v>936</v>
      </c>
      <c r="I13" s="911"/>
    </row>
    <row r="14" spans="1:10" ht="41.25" customHeight="1">
      <c r="A14" s="912" t="s">
        <v>933</v>
      </c>
      <c r="B14" s="957">
        <f>SUM(C14:F14)</f>
        <v>9632.73</v>
      </c>
      <c r="C14" s="955">
        <v>4940.6400000000003</v>
      </c>
      <c r="D14" s="913"/>
      <c r="E14" s="958">
        <v>4637.9399999999996</v>
      </c>
      <c r="F14" s="959">
        <v>54.15</v>
      </c>
      <c r="G14" s="911" t="s">
        <v>292</v>
      </c>
      <c r="H14" s="911" t="s">
        <v>218</v>
      </c>
      <c r="I14" s="911" t="s">
        <v>280</v>
      </c>
      <c r="J14" s="914">
        <f>B14+B17</f>
        <v>9842.4599999999991</v>
      </c>
    </row>
    <row r="15" spans="1:10" ht="32.25" customHeight="1" thickBot="1">
      <c r="A15" s="909" t="s">
        <v>464</v>
      </c>
      <c r="B15" s="962">
        <f>SUM(C15:F15)</f>
        <v>1.2093</v>
      </c>
      <c r="C15" s="956">
        <v>0.60329999999999995</v>
      </c>
      <c r="D15" s="915"/>
      <c r="E15" s="960">
        <v>0.5988</v>
      </c>
      <c r="F15" s="961">
        <v>7.1999999999999998E-3</v>
      </c>
      <c r="G15" s="916">
        <f>[16]Лист1!H20</f>
        <v>8417.0198482290671</v>
      </c>
      <c r="H15" s="916">
        <f>[17]Лист1!$H$22</f>
        <v>7944.8658008658012</v>
      </c>
      <c r="I15" s="916">
        <f>[17]Лист1!$H$23</f>
        <v>8685.7929472314718</v>
      </c>
      <c r="J15" s="894">
        <f>3015.8+16655+1330+133.01+2540</f>
        <v>23673.809999999998</v>
      </c>
    </row>
    <row r="16" spans="1:10" ht="46.5" customHeight="1" thickBot="1">
      <c r="A16" s="2909" t="s">
        <v>937</v>
      </c>
      <c r="B16" s="2909"/>
      <c r="C16" s="2909"/>
      <c r="D16" s="2909"/>
      <c r="E16" s="2909"/>
      <c r="F16" s="2909"/>
      <c r="G16" s="916">
        <f>C14/C15</f>
        <v>8189.3585280954758</v>
      </c>
      <c r="H16" s="916">
        <f>E14/E15</f>
        <v>7745.3907815631255</v>
      </c>
      <c r="I16" s="916">
        <f>F14/F15</f>
        <v>7520.833333333333</v>
      </c>
    </row>
    <row r="17" spans="1:10" ht="39.75" customHeight="1">
      <c r="A17" s="908" t="s">
        <v>933</v>
      </c>
      <c r="B17" s="963">
        <f>SUM(C17:F17)</f>
        <v>209.73000000000002</v>
      </c>
      <c r="C17" s="964"/>
      <c r="D17" s="964"/>
      <c r="E17" s="964">
        <v>21.36</v>
      </c>
      <c r="F17" s="965">
        <v>188.37</v>
      </c>
      <c r="G17" s="918" t="s">
        <v>945</v>
      </c>
      <c r="H17" s="919">
        <f>E14/H15</f>
        <v>0.58376568166759657</v>
      </c>
      <c r="I17" s="919">
        <f>F14/I15</f>
        <v>6.234318539363742E-3</v>
      </c>
    </row>
    <row r="18" spans="1:10" ht="30.75" customHeight="1" thickBot="1">
      <c r="A18" s="909" t="s">
        <v>464</v>
      </c>
      <c r="B18" s="962">
        <f>SUM(C18:F18)</f>
        <v>4.1799999999999997E-2</v>
      </c>
      <c r="C18" s="960"/>
      <c r="D18" s="960"/>
      <c r="E18" s="960">
        <v>4.3E-3</v>
      </c>
      <c r="F18" s="961">
        <v>3.7499999999999999E-2</v>
      </c>
      <c r="G18" s="970">
        <f>B17/B18</f>
        <v>5017.4641148325363</v>
      </c>
      <c r="H18" s="920">
        <v>7978.421164032</v>
      </c>
      <c r="I18" s="921" t="s">
        <v>218</v>
      </c>
    </row>
    <row r="19" spans="1:10" ht="71.25" customHeight="1" thickBot="1">
      <c r="A19" s="2909" t="s">
        <v>938</v>
      </c>
      <c r="B19" s="2909"/>
      <c r="C19" s="2909"/>
      <c r="D19" s="2909"/>
      <c r="E19" s="2909"/>
      <c r="F19" s="2909"/>
      <c r="H19" s="922">
        <v>7778.1036563999987</v>
      </c>
      <c r="I19" s="922">
        <f>H19-H18</f>
        <v>-200.31750763200125</v>
      </c>
    </row>
    <row r="20" spans="1:10" ht="34.5" customHeight="1">
      <c r="A20" s="908" t="s">
        <v>933</v>
      </c>
      <c r="B20" s="923">
        <f>SUM(C20:F20)</f>
        <v>0</v>
      </c>
      <c r="C20" s="917"/>
      <c r="D20" s="917"/>
      <c r="E20" s="924"/>
      <c r="F20" s="925"/>
      <c r="H20" s="926">
        <v>174.48708787200002</v>
      </c>
      <c r="I20" s="927" t="s">
        <v>280</v>
      </c>
      <c r="J20" s="928"/>
    </row>
    <row r="21" spans="1:10" ht="26.25" customHeight="1" thickBot="1">
      <c r="A21" s="909" t="s">
        <v>464</v>
      </c>
      <c r="B21" s="929">
        <f>SUM(C21:F21)</f>
        <v>0</v>
      </c>
      <c r="C21" s="915"/>
      <c r="D21" s="915"/>
      <c r="E21" s="930"/>
      <c r="F21" s="931"/>
      <c r="H21" s="926">
        <v>151.08445649999996</v>
      </c>
      <c r="I21" s="926">
        <f>H21-H20</f>
        <v>-23.402631372000059</v>
      </c>
    </row>
    <row r="22" spans="1:10" ht="34.5" customHeight="1" thickBot="1">
      <c r="A22" s="2909" t="s">
        <v>1100</v>
      </c>
      <c r="B22" s="2909"/>
      <c r="C22" s="2909"/>
      <c r="D22" s="2909"/>
      <c r="E22" s="2909"/>
      <c r="F22" s="2909"/>
      <c r="I22" s="932">
        <f>I21+I19</f>
        <v>-223.72013900400131</v>
      </c>
    </row>
    <row r="23" spans="1:10" ht="33" customHeight="1">
      <c r="A23" s="933" t="s">
        <v>933</v>
      </c>
      <c r="B23" s="966">
        <f>SUM(C23:F23)</f>
        <v>2522.91</v>
      </c>
      <c r="C23" s="1060" t="s">
        <v>978</v>
      </c>
      <c r="D23" s="958">
        <v>485.92</v>
      </c>
      <c r="E23" s="958">
        <v>1572.61</v>
      </c>
      <c r="F23" s="959">
        <v>464.38</v>
      </c>
    </row>
    <row r="24" spans="1:10" ht="28.5" customHeight="1" thickBot="1">
      <c r="A24" s="934" t="s">
        <v>464</v>
      </c>
      <c r="B24" s="1057">
        <f>SUM(C24:F24)</f>
        <v>0.37000000000000005</v>
      </c>
      <c r="C24" s="1061"/>
      <c r="D24" s="1058">
        <v>7.0000000000000007E-2</v>
      </c>
      <c r="E24" s="1058">
        <v>0.23</v>
      </c>
      <c r="F24" s="1059">
        <v>7.0000000000000007E-2</v>
      </c>
      <c r="H24" s="916"/>
    </row>
    <row r="25" spans="1:10" ht="48" customHeight="1" thickBot="1">
      <c r="A25" s="2909" t="s">
        <v>1101</v>
      </c>
      <c r="B25" s="2909"/>
      <c r="C25" s="2909"/>
      <c r="D25" s="2909"/>
      <c r="E25" s="2909"/>
      <c r="F25" s="2909"/>
      <c r="H25" s="935"/>
    </row>
    <row r="26" spans="1:10" ht="28.5" customHeight="1" thickBot="1">
      <c r="A26" s="933" t="s">
        <v>933</v>
      </c>
      <c r="B26" s="1071">
        <f>ROUND((B10+22141.869)/(1-7/100)*7/100,2)</f>
        <v>2407.42</v>
      </c>
      <c r="C26" s="936"/>
      <c r="D26" s="937"/>
      <c r="E26" s="937"/>
      <c r="F26" s="938"/>
      <c r="H26" s="939">
        <f>B26/(B10+'[16]Прилож.1-2012г.'!C47+'стр-ра пол.отп. 2012г.июнь'!B26)</f>
        <v>6.7002686681324156E-2</v>
      </c>
    </row>
    <row r="27" spans="1:10" ht="28.5" customHeight="1" thickBot="1">
      <c r="A27" s="940" t="s">
        <v>464</v>
      </c>
      <c r="B27" s="1072">
        <f>ROUND(((B11+2.819)/(1-7/100))*7/100,4)</f>
        <v>0.30640000000000001</v>
      </c>
      <c r="C27" s="941"/>
      <c r="D27" s="942"/>
      <c r="E27" s="942"/>
      <c r="F27" s="943"/>
      <c r="H27" s="916" t="e">
        <f>C26/C27</f>
        <v>#DIV/0!</v>
      </c>
      <c r="J27" s="944">
        <f>(3015.8+16655+1330+2540+133.1)</f>
        <v>23673.899999999998</v>
      </c>
    </row>
    <row r="28" spans="1:10" ht="28.5" customHeight="1">
      <c r="A28" s="945"/>
      <c r="B28" s="946"/>
      <c r="C28" s="907"/>
      <c r="D28" s="907"/>
      <c r="E28" s="947"/>
      <c r="F28" s="947"/>
      <c r="J28" s="948">
        <f>J27+B10</f>
        <v>33516.36</v>
      </c>
    </row>
    <row r="29" spans="1:10" ht="17.25" hidden="1" customHeight="1">
      <c r="A29" s="2909" t="s">
        <v>939</v>
      </c>
      <c r="B29" s="2909"/>
      <c r="C29" s="2909"/>
      <c r="D29" s="2909"/>
      <c r="E29" s="2909"/>
      <c r="F29" s="2909"/>
      <c r="H29" s="949">
        <f>'[16]Прилож.1-2012г.'!C48/(1-7/100)-'[16]Прилож.1-2012г.'!C48</f>
        <v>2529.6585698924755</v>
      </c>
      <c r="J29" s="894">
        <f>0.42+2.08+0.386+0.019</f>
        <v>2.9050000000000002</v>
      </c>
    </row>
    <row r="30" spans="1:10" ht="17.25" hidden="1" customHeight="1" thickBot="1">
      <c r="A30" s="2909" t="s">
        <v>977</v>
      </c>
      <c r="B30" s="2909"/>
      <c r="C30" s="2909"/>
      <c r="D30" s="2909"/>
      <c r="E30" s="2909"/>
      <c r="F30" s="2909"/>
      <c r="H30" s="950">
        <f>H29/('[16]Прилож.1-2012г.'!C48/'[16]Прилож.1-2012г.'!D48)+0.004</f>
        <v>0.30878444310860748</v>
      </c>
      <c r="I30" s="951">
        <f>H29/H30</f>
        <v>8192.3122305832258</v>
      </c>
      <c r="J30" s="952">
        <f>J29+B11</f>
        <v>4.1561000000000003</v>
      </c>
    </row>
    <row r="31" spans="1:10" hidden="1">
      <c r="A31" s="2909" t="s">
        <v>940</v>
      </c>
      <c r="B31" s="2909"/>
      <c r="C31" s="2909"/>
      <c r="D31" s="2909"/>
      <c r="E31" s="2909"/>
      <c r="F31" s="2909"/>
      <c r="J31" s="928">
        <f>J28/J30</f>
        <v>8064.3776617501981</v>
      </c>
    </row>
    <row r="32" spans="1:10">
      <c r="A32" s="2909" t="s">
        <v>1102</v>
      </c>
      <c r="B32" s="2909"/>
      <c r="D32" s="2909" t="s">
        <v>941</v>
      </c>
      <c r="E32" s="2909"/>
      <c r="F32" s="2909"/>
    </row>
    <row r="33" spans="1:6">
      <c r="A33" s="2909"/>
      <c r="B33" s="2909"/>
      <c r="D33" s="2909"/>
      <c r="E33" s="2909"/>
      <c r="F33" s="2909"/>
    </row>
    <row r="34" spans="1:6">
      <c r="A34" s="2909"/>
      <c r="B34" s="2909"/>
      <c r="D34" s="2909"/>
      <c r="E34" s="2909"/>
      <c r="F34" s="2909"/>
    </row>
    <row r="35" spans="1:6">
      <c r="A35" s="2909"/>
      <c r="B35" s="2909"/>
      <c r="D35" s="2909"/>
      <c r="E35" s="2909"/>
      <c r="F35" s="2909"/>
    </row>
    <row r="36" spans="1:6" s="953" customFormat="1">
      <c r="A36" s="2909"/>
      <c r="B36" s="2909"/>
      <c r="D36" s="2909"/>
      <c r="E36" s="2909"/>
      <c r="F36" s="2909"/>
    </row>
    <row r="37" spans="1:6" s="953" customFormat="1">
      <c r="A37" s="2909"/>
      <c r="B37" s="2909"/>
      <c r="D37" s="2909"/>
      <c r="E37" s="2909"/>
      <c r="F37" s="2909"/>
    </row>
    <row r="38" spans="1:6" s="953" customFormat="1" ht="25.5" customHeight="1">
      <c r="A38" s="1135" t="s">
        <v>932</v>
      </c>
      <c r="B38" s="1132"/>
      <c r="D38" s="1132"/>
      <c r="E38" s="1132"/>
      <c r="F38" s="1132"/>
    </row>
    <row r="39" spans="1:6" s="953" customFormat="1" ht="32.25" customHeight="1">
      <c r="A39" s="2909" t="s">
        <v>1103</v>
      </c>
      <c r="B39" s="2909"/>
      <c r="D39" s="2909" t="s">
        <v>942</v>
      </c>
      <c r="E39" s="2909"/>
      <c r="F39" s="2909"/>
    </row>
    <row r="40" spans="1:6" s="953" customFormat="1">
      <c r="A40" s="2909" t="s">
        <v>943</v>
      </c>
      <c r="B40" s="2909"/>
      <c r="D40" s="2909" t="s">
        <v>943</v>
      </c>
      <c r="E40" s="2909"/>
      <c r="F40" s="2909"/>
    </row>
    <row r="41" spans="1:6" s="953" customFormat="1">
      <c r="A41" s="2909" t="s">
        <v>944</v>
      </c>
      <c r="B41" s="2909"/>
      <c r="D41" s="2909" t="s">
        <v>944</v>
      </c>
      <c r="E41" s="2909"/>
      <c r="F41" s="2909"/>
    </row>
    <row r="46" spans="1:6">
      <c r="D46" s="954"/>
    </row>
  </sheetData>
  <mergeCells count="26">
    <mergeCell ref="E1:F1"/>
    <mergeCell ref="A2:F2"/>
    <mergeCell ref="A3:F3"/>
    <mergeCell ref="A4:F4"/>
    <mergeCell ref="A6:A7"/>
    <mergeCell ref="B6:B7"/>
    <mergeCell ref="C6:F6"/>
    <mergeCell ref="A32:B37"/>
    <mergeCell ref="D32:F37"/>
    <mergeCell ref="A8:F8"/>
    <mergeCell ref="A9:F9"/>
    <mergeCell ref="A12:F12"/>
    <mergeCell ref="A13:F13"/>
    <mergeCell ref="A16:F16"/>
    <mergeCell ref="A19:F19"/>
    <mergeCell ref="A22:F22"/>
    <mergeCell ref="A25:F25"/>
    <mergeCell ref="A29:F29"/>
    <mergeCell ref="A30:F30"/>
    <mergeCell ref="A31:F31"/>
    <mergeCell ref="A39:B39"/>
    <mergeCell ref="D39:F39"/>
    <mergeCell ref="A40:B40"/>
    <mergeCell ref="D40:F40"/>
    <mergeCell ref="A41:B41"/>
    <mergeCell ref="D41:F41"/>
  </mergeCells>
  <pageMargins left="1.4958333333333333" right="0.74791666666666667" top="0.98402777777777783" bottom="0.98402777777777783" header="0.51180555555555562" footer="0.51180555555555562"/>
  <pageSetup paperSize="9" scale="57" firstPageNumber="0" orientation="portrait" horizontalDpi="300" verticalDpi="300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5">
    <tabColor theme="9" tint="0.39997558519241921"/>
  </sheetPr>
  <dimension ref="A1:P277"/>
  <sheetViews>
    <sheetView zoomScaleNormal="100" workbookViewId="0">
      <pane ySplit="7" topLeftCell="A8" activePane="bottomLeft" state="frozenSplit"/>
      <selection activeCell="K8" sqref="K8"/>
      <selection pane="bottomLeft" activeCell="K8" sqref="K8"/>
    </sheetView>
  </sheetViews>
  <sheetFormatPr defaultColWidth="9.109375" defaultRowHeight="13.2"/>
  <cols>
    <col min="1" max="1" width="7.88671875" style="664" customWidth="1"/>
    <col min="2" max="2" width="35.33203125" style="664" customWidth="1"/>
    <col min="3" max="3" width="12.33203125" style="663" customWidth="1"/>
    <col min="4" max="4" width="10.88671875" style="1095" customWidth="1"/>
    <col min="5" max="5" width="10.44140625" style="664" customWidth="1"/>
    <col min="6" max="6" width="10.33203125" style="664" customWidth="1"/>
    <col min="7" max="7" width="9.5546875" style="664" bestFit="1" customWidth="1"/>
    <col min="8" max="8" width="13.6640625" style="665" customWidth="1"/>
    <col min="9" max="9" width="9.109375" style="664"/>
    <col min="10" max="10" width="11.109375" style="664" bestFit="1" customWidth="1"/>
    <col min="11" max="11" width="9.109375" style="664"/>
    <col min="12" max="12" width="10.5546875" style="664" bestFit="1" customWidth="1"/>
    <col min="13" max="16384" width="9.109375" style="664"/>
  </cols>
  <sheetData>
    <row r="1" spans="1:16">
      <c r="A1" s="666"/>
      <c r="B1" s="666"/>
      <c r="C1" s="666"/>
      <c r="D1" s="1085"/>
      <c r="E1" s="666"/>
      <c r="F1" s="674" t="s">
        <v>472</v>
      </c>
      <c r="G1" s="666"/>
      <c r="H1" s="675">
        <f>'стр-ра пол.отп. 2012г.июнь'!H2</f>
        <v>34391.749000000003</v>
      </c>
      <c r="J1" s="675">
        <f>C17+C16</f>
        <v>34391.749000000003</v>
      </c>
    </row>
    <row r="2" spans="1:16">
      <c r="A2" s="666"/>
      <c r="B2" s="666"/>
      <c r="C2" s="666"/>
      <c r="D2" s="1085"/>
      <c r="E2" s="666"/>
      <c r="F2" s="666"/>
      <c r="G2" s="666"/>
      <c r="H2" s="1081">
        <f>'стр-ра пол.отп. 2012г.июнь'!H3</f>
        <v>4.3765000000000001</v>
      </c>
      <c r="J2" s="1081">
        <f>D17+D16</f>
        <v>4.3764999999999992</v>
      </c>
    </row>
    <row r="3" spans="1:16">
      <c r="A3" s="666"/>
      <c r="B3" s="666"/>
      <c r="C3" s="666"/>
      <c r="D3" s="1085"/>
      <c r="E3" s="666"/>
      <c r="F3" s="676" t="s">
        <v>473</v>
      </c>
      <c r="G3" s="666"/>
    </row>
    <row r="4" spans="1:16">
      <c r="A4" s="2909" t="s">
        <v>474</v>
      </c>
      <c r="B4" s="2909"/>
      <c r="C4" s="2909"/>
      <c r="D4" s="2909"/>
      <c r="E4" s="2909"/>
      <c r="F4" s="2909"/>
      <c r="G4" s="666"/>
    </row>
    <row r="5" spans="1:16">
      <c r="A5" s="2909" t="s">
        <v>726</v>
      </c>
      <c r="B5" s="2909"/>
      <c r="C5" s="2909"/>
      <c r="D5" s="2909"/>
      <c r="E5" s="2909"/>
      <c r="F5" s="2909"/>
      <c r="G5" s="666"/>
    </row>
    <row r="6" spans="1:16" ht="52.8">
      <c r="A6" s="677" t="s">
        <v>229</v>
      </c>
      <c r="B6" s="677"/>
      <c r="C6" s="677" t="s">
        <v>475</v>
      </c>
      <c r="D6" s="1086" t="s">
        <v>476</v>
      </c>
      <c r="E6" s="677" t="s">
        <v>477</v>
      </c>
      <c r="F6" s="677" t="s">
        <v>478</v>
      </c>
      <c r="G6" s="678"/>
      <c r="H6" s="679"/>
      <c r="I6" s="680"/>
      <c r="J6" s="680"/>
      <c r="K6" s="680"/>
      <c r="L6" s="680"/>
      <c r="M6" s="680"/>
      <c r="N6" s="680"/>
      <c r="O6" s="680"/>
      <c r="P6" s="680"/>
    </row>
    <row r="7" spans="1:16">
      <c r="A7" s="681">
        <v>1</v>
      </c>
      <c r="B7" s="681"/>
      <c r="C7" s="682">
        <v>3</v>
      </c>
      <c r="D7" s="1096">
        <v>4</v>
      </c>
      <c r="E7" s="682">
        <v>5</v>
      </c>
      <c r="F7" s="682">
        <v>6</v>
      </c>
      <c r="G7" s="678"/>
      <c r="H7" s="679"/>
      <c r="I7" s="680"/>
      <c r="J7" s="680"/>
      <c r="K7" s="680"/>
      <c r="L7" s="680"/>
      <c r="M7" s="680"/>
      <c r="N7" s="680"/>
      <c r="O7" s="680"/>
      <c r="P7" s="680"/>
    </row>
    <row r="8" spans="1:16" ht="26.4">
      <c r="A8" s="683" t="s">
        <v>479</v>
      </c>
      <c r="B8" s="684" t="s">
        <v>480</v>
      </c>
      <c r="C8" s="696">
        <f>C11</f>
        <v>34391.749000000003</v>
      </c>
      <c r="D8" s="1087">
        <f>D11</f>
        <v>4.3764999999999992</v>
      </c>
      <c r="E8" s="685"/>
      <c r="F8" s="685"/>
      <c r="G8" s="686"/>
      <c r="H8" s="687"/>
      <c r="I8" s="688"/>
      <c r="J8" s="689">
        <f>C8-H1</f>
        <v>0</v>
      </c>
      <c r="K8" s="680"/>
      <c r="L8" s="686"/>
      <c r="M8" s="686"/>
      <c r="N8" s="680"/>
      <c r="O8" s="680"/>
      <c r="P8" s="680"/>
    </row>
    <row r="9" spans="1:16">
      <c r="A9" s="683"/>
      <c r="B9" s="690" t="s">
        <v>481</v>
      </c>
      <c r="C9" s="696"/>
      <c r="D9" s="1087"/>
      <c r="E9" s="685"/>
      <c r="F9" s="685"/>
      <c r="G9" s="680"/>
      <c r="H9" s="679"/>
      <c r="I9" s="680"/>
      <c r="J9" s="680"/>
      <c r="K9" s="680"/>
      <c r="L9" s="680"/>
      <c r="M9" s="680"/>
      <c r="N9" s="680"/>
      <c r="O9" s="680"/>
      <c r="P9" s="680"/>
    </row>
    <row r="10" spans="1:16">
      <c r="A10" s="683" t="s">
        <v>482</v>
      </c>
      <c r="B10" s="690" t="s">
        <v>502</v>
      </c>
      <c r="C10" s="714"/>
      <c r="D10" s="1087"/>
      <c r="E10" s="685"/>
      <c r="F10" s="685"/>
      <c r="G10" s="686"/>
      <c r="H10" s="691"/>
      <c r="I10" s="680"/>
      <c r="J10" s="680"/>
      <c r="K10" s="680"/>
      <c r="L10" s="680"/>
      <c r="M10" s="680"/>
      <c r="N10" s="680"/>
      <c r="O10" s="680"/>
      <c r="P10" s="680"/>
    </row>
    <row r="11" spans="1:16">
      <c r="A11" s="683" t="s">
        <v>483</v>
      </c>
      <c r="B11" s="690" t="s">
        <v>484</v>
      </c>
      <c r="C11" s="696">
        <f>C13+C14</f>
        <v>34391.749000000003</v>
      </c>
      <c r="D11" s="1087">
        <f>D13+D14</f>
        <v>4.3764999999999992</v>
      </c>
      <c r="E11" s="685"/>
      <c r="F11" s="685"/>
      <c r="G11" s="1083" t="s">
        <v>388</v>
      </c>
      <c r="H11" s="679"/>
      <c r="I11" s="1083" t="s">
        <v>980</v>
      </c>
      <c r="J11" s="680"/>
      <c r="K11" s="680"/>
      <c r="L11" s="680"/>
      <c r="M11" s="680"/>
      <c r="N11" s="680"/>
      <c r="O11" s="680"/>
      <c r="P11" s="680"/>
    </row>
    <row r="12" spans="1:16">
      <c r="A12" s="683"/>
      <c r="B12" s="690" t="s">
        <v>481</v>
      </c>
      <c r="C12" s="696"/>
      <c r="D12" s="1087"/>
      <c r="E12" s="685"/>
      <c r="F12" s="685"/>
      <c r="G12" s="1083">
        <f>C13/D13</f>
        <v>7869.5428505160653</v>
      </c>
      <c r="H12" s="693">
        <f>H17+H16</f>
        <v>36015.740999999995</v>
      </c>
      <c r="I12" s="1083">
        <f>C14/D14</f>
        <v>7110.9999999999991</v>
      </c>
      <c r="J12" s="680"/>
      <c r="K12" s="680"/>
      <c r="L12" s="680"/>
      <c r="M12" s="680"/>
      <c r="N12" s="680"/>
      <c r="O12" s="680"/>
      <c r="P12" s="680"/>
    </row>
    <row r="13" spans="1:16">
      <c r="A13" s="683" t="s">
        <v>485</v>
      </c>
      <c r="B13" s="690" t="s">
        <v>421</v>
      </c>
      <c r="C13" s="696">
        <f>C16+C17-C14</f>
        <v>33929.534000000007</v>
      </c>
      <c r="D13" s="1087">
        <f>D16+D17-D14</f>
        <v>4.3114999999999988</v>
      </c>
      <c r="E13" s="685"/>
      <c r="F13" s="685"/>
      <c r="G13" s="697" t="s">
        <v>249</v>
      </c>
      <c r="H13" s="694"/>
      <c r="I13" s="680"/>
      <c r="J13" s="680"/>
      <c r="K13" s="695"/>
      <c r="L13" s="680"/>
      <c r="M13" s="680"/>
      <c r="N13" s="680"/>
      <c r="O13" s="680"/>
      <c r="P13" s="680"/>
    </row>
    <row r="14" spans="1:16">
      <c r="A14" s="1074" t="s">
        <v>486</v>
      </c>
      <c r="B14" s="1075" t="s">
        <v>1104</v>
      </c>
      <c r="C14" s="1076">
        <f>C80</f>
        <v>462.21499999999997</v>
      </c>
      <c r="D14" s="1088">
        <f>D80</f>
        <v>6.5000000000000002E-2</v>
      </c>
      <c r="E14" s="685"/>
      <c r="F14" s="685"/>
      <c r="G14" s="697">
        <f>C16/C8</f>
        <v>6.9999929343517828E-2</v>
      </c>
      <c r="H14" s="697">
        <f>D16/D8</f>
        <v>7.0010282188963796E-2</v>
      </c>
      <c r="I14" s="680"/>
      <c r="J14" s="680"/>
      <c r="K14" s="680"/>
      <c r="L14" s="680"/>
      <c r="M14" s="680"/>
      <c r="N14" s="680"/>
      <c r="O14" s="680"/>
      <c r="P14" s="680"/>
    </row>
    <row r="15" spans="1:16">
      <c r="A15" s="683"/>
      <c r="B15" s="690" t="s">
        <v>96</v>
      </c>
      <c r="C15" s="696"/>
      <c r="D15" s="1087"/>
      <c r="E15" s="685"/>
      <c r="F15" s="685"/>
      <c r="G15" s="692"/>
      <c r="H15" s="694"/>
      <c r="I15" s="680"/>
      <c r="J15" s="680"/>
      <c r="K15" s="680"/>
      <c r="L15" s="680"/>
      <c r="M15" s="680"/>
      <c r="N15" s="680"/>
      <c r="O15" s="680"/>
      <c r="P15" s="680"/>
    </row>
    <row r="16" spans="1:16">
      <c r="A16" s="683" t="s">
        <v>487</v>
      </c>
      <c r="B16" s="690" t="s">
        <v>488</v>
      </c>
      <c r="C16" s="696">
        <f>C131+C110+C63</f>
        <v>2407.42</v>
      </c>
      <c r="D16" s="1087">
        <f>D131+D110+D63</f>
        <v>0.30640000000000001</v>
      </c>
      <c r="E16" s="685"/>
      <c r="F16" s="685"/>
      <c r="G16" s="698">
        <f>C16/D16</f>
        <v>7857.1148825065275</v>
      </c>
      <c r="H16" s="675">
        <f>'2012 Баланс  '!B13</f>
        <v>2407.42</v>
      </c>
      <c r="I16" s="1082">
        <f>'2012 Баланс  '!B14</f>
        <v>0.30640000000000001</v>
      </c>
      <c r="J16" s="689">
        <f>C16-H16</f>
        <v>0</v>
      </c>
      <c r="K16" s="680"/>
      <c r="L16" s="680"/>
      <c r="M16" s="680"/>
      <c r="N16" s="680"/>
      <c r="O16" s="680"/>
      <c r="P16" s="680"/>
    </row>
    <row r="17" spans="1:16" ht="26.4">
      <c r="A17" s="699" t="s">
        <v>489</v>
      </c>
      <c r="B17" s="690" t="s">
        <v>490</v>
      </c>
      <c r="C17" s="696">
        <f>C19+C20</f>
        <v>31984.329000000002</v>
      </c>
      <c r="D17" s="1087">
        <f>D19+D20</f>
        <v>4.0700999999999992</v>
      </c>
      <c r="E17" s="685"/>
      <c r="F17" s="685"/>
      <c r="G17" s="680"/>
      <c r="H17" s="700">
        <v>33608.320999999996</v>
      </c>
      <c r="I17" s="688"/>
      <c r="J17" s="701"/>
      <c r="K17" s="701"/>
      <c r="L17" s="680"/>
      <c r="M17" s="680"/>
      <c r="N17" s="680"/>
      <c r="O17" s="680"/>
      <c r="P17" s="680"/>
    </row>
    <row r="18" spans="1:16">
      <c r="A18" s="683"/>
      <c r="B18" s="690" t="s">
        <v>251</v>
      </c>
      <c r="C18" s="696"/>
      <c r="D18" s="1087"/>
      <c r="E18" s="685"/>
      <c r="F18" s="685"/>
      <c r="G18" s="680"/>
      <c r="H18" s="679"/>
      <c r="I18" s="680"/>
      <c r="J18" s="680"/>
      <c r="K18" s="680"/>
      <c r="L18" s="680"/>
      <c r="M18" s="680"/>
      <c r="N18" s="680"/>
      <c r="O18" s="680"/>
      <c r="P18" s="680"/>
    </row>
    <row r="19" spans="1:16">
      <c r="A19" s="683" t="s">
        <v>491</v>
      </c>
      <c r="B19" s="690" t="s">
        <v>492</v>
      </c>
      <c r="C19" s="702">
        <f>C66+C113+C134</f>
        <v>9842.4599999999991</v>
      </c>
      <c r="D19" s="1087">
        <f>D66+D113+D134</f>
        <v>1.2510999999999999</v>
      </c>
      <c r="E19" s="685"/>
      <c r="F19" s="685"/>
      <c r="G19" s="680">
        <v>9927.9999999999982</v>
      </c>
      <c r="H19" s="679">
        <v>1.2890000000000001</v>
      </c>
      <c r="I19" s="680"/>
      <c r="J19" s="688"/>
      <c r="K19" s="680"/>
      <c r="L19" s="680"/>
      <c r="M19" s="680"/>
      <c r="N19" s="680"/>
      <c r="O19" s="680"/>
      <c r="P19" s="680"/>
    </row>
    <row r="20" spans="1:16">
      <c r="A20" s="683" t="s">
        <v>493</v>
      </c>
      <c r="B20" s="690" t="s">
        <v>494</v>
      </c>
      <c r="C20" s="696">
        <f>C22+C24+C26+C28</f>
        <v>22141.869000000002</v>
      </c>
      <c r="D20" s="1087">
        <f>D22+D24+D26+D28</f>
        <v>2.8189999999999995</v>
      </c>
      <c r="E20" s="685"/>
      <c r="F20" s="685"/>
      <c r="G20" s="680">
        <v>23680.321</v>
      </c>
      <c r="H20" s="695">
        <v>2.7603135126301153</v>
      </c>
      <c r="I20" s="680"/>
      <c r="J20" s="688"/>
      <c r="K20" s="680"/>
      <c r="L20" s="680"/>
      <c r="M20" s="680"/>
      <c r="N20" s="680"/>
      <c r="O20" s="680"/>
      <c r="P20" s="680"/>
    </row>
    <row r="21" spans="1:16" ht="11.25" customHeight="1">
      <c r="A21" s="683"/>
      <c r="B21" s="690" t="s">
        <v>251</v>
      </c>
      <c r="C21" s="696"/>
      <c r="D21" s="1087"/>
      <c r="E21" s="685"/>
      <c r="F21" s="685"/>
      <c r="G21" s="680"/>
      <c r="H21" s="679"/>
      <c r="I21" s="680"/>
      <c r="J21" s="680"/>
      <c r="K21" s="680"/>
      <c r="L21" s="680"/>
      <c r="M21" s="680"/>
      <c r="N21" s="680"/>
      <c r="O21" s="680"/>
      <c r="P21" s="680"/>
    </row>
    <row r="22" spans="1:16">
      <c r="A22" s="683" t="s">
        <v>496</v>
      </c>
      <c r="B22" s="703" t="s">
        <v>447</v>
      </c>
      <c r="C22" s="704">
        <f>C69+C116</f>
        <v>20123</v>
      </c>
      <c r="D22" s="1089">
        <f>D69+D116</f>
        <v>2.5499999999999998</v>
      </c>
      <c r="E22" s="685"/>
      <c r="F22" s="685"/>
      <c r="G22" s="680"/>
      <c r="H22" s="679"/>
      <c r="I22" s="680"/>
      <c r="J22" s="680"/>
      <c r="K22" s="680"/>
      <c r="L22" s="680"/>
      <c r="M22" s="680"/>
      <c r="N22" s="680"/>
      <c r="O22" s="680"/>
      <c r="P22" s="680"/>
    </row>
    <row r="23" spans="1:16" ht="26.4">
      <c r="A23" s="705" t="s">
        <v>497</v>
      </c>
      <c r="B23" s="690" t="s">
        <v>495</v>
      </c>
      <c r="C23" s="696"/>
      <c r="D23" s="1087"/>
      <c r="E23" s="685"/>
      <c r="F23" s="685"/>
      <c r="G23" s="680"/>
      <c r="H23" s="679"/>
      <c r="I23" s="680"/>
      <c r="J23" s="680"/>
      <c r="K23" s="680"/>
      <c r="L23" s="680"/>
      <c r="M23" s="680"/>
      <c r="N23" s="680"/>
      <c r="O23" s="680"/>
      <c r="P23" s="680"/>
    </row>
    <row r="24" spans="1:16">
      <c r="A24" s="683" t="s">
        <v>734</v>
      </c>
      <c r="B24" s="703" t="s">
        <v>735</v>
      </c>
      <c r="C24" s="704">
        <f>C71</f>
        <v>813.31100000000004</v>
      </c>
      <c r="D24" s="1089">
        <f>D71</f>
        <v>9.2999999999999999E-2</v>
      </c>
      <c r="E24" s="685"/>
      <c r="F24" s="685"/>
      <c r="G24" s="680"/>
      <c r="H24" s="679"/>
      <c r="I24" s="680"/>
      <c r="J24" s="680"/>
      <c r="K24" s="680"/>
      <c r="L24" s="680"/>
      <c r="M24" s="680"/>
      <c r="N24" s="680"/>
      <c r="O24" s="680"/>
      <c r="P24" s="680"/>
    </row>
    <row r="25" spans="1:16" ht="26.4">
      <c r="A25" s="705" t="s">
        <v>736</v>
      </c>
      <c r="B25" s="690" t="s">
        <v>495</v>
      </c>
      <c r="C25" s="696"/>
      <c r="D25" s="1087"/>
      <c r="E25" s="685"/>
      <c r="F25" s="685"/>
      <c r="G25" s="680"/>
      <c r="H25" s="679"/>
      <c r="I25" s="680"/>
      <c r="J25" s="680"/>
      <c r="K25" s="680"/>
      <c r="L25" s="680"/>
      <c r="M25" s="680"/>
      <c r="N25" s="680"/>
      <c r="O25" s="680"/>
      <c r="P25" s="680"/>
    </row>
    <row r="26" spans="1:16">
      <c r="A26" s="706" t="s">
        <v>737</v>
      </c>
      <c r="B26" s="703" t="s">
        <v>738</v>
      </c>
      <c r="C26" s="707">
        <f>C73</f>
        <v>674</v>
      </c>
      <c r="D26" s="1090">
        <f>D73</f>
        <v>0.10199999999999999</v>
      </c>
      <c r="E26" s="685"/>
      <c r="F26" s="685"/>
      <c r="G26" s="680"/>
      <c r="H26" s="679"/>
      <c r="I26" s="680"/>
      <c r="J26" s="680"/>
      <c r="K26" s="680"/>
      <c r="L26" s="680"/>
      <c r="M26" s="680"/>
      <c r="N26" s="680"/>
      <c r="O26" s="680"/>
      <c r="P26" s="680"/>
    </row>
    <row r="27" spans="1:16" ht="26.4">
      <c r="A27" s="705" t="s">
        <v>739</v>
      </c>
      <c r="B27" s="690" t="s">
        <v>498</v>
      </c>
      <c r="C27" s="696"/>
      <c r="D27" s="1087"/>
      <c r="E27" s="685"/>
      <c r="F27" s="685"/>
      <c r="G27" s="680"/>
      <c r="H27" s="679"/>
      <c r="I27" s="680"/>
      <c r="J27" s="680"/>
      <c r="K27" s="680"/>
      <c r="L27" s="680"/>
      <c r="M27" s="680"/>
      <c r="N27" s="680"/>
      <c r="O27" s="680"/>
      <c r="P27" s="680"/>
    </row>
    <row r="28" spans="1:16">
      <c r="A28" s="706" t="s">
        <v>740</v>
      </c>
      <c r="B28" s="703" t="s">
        <v>741</v>
      </c>
      <c r="C28" s="707">
        <f>C137</f>
        <v>531.55799999999999</v>
      </c>
      <c r="D28" s="1090">
        <f>D137</f>
        <v>7.3999999999999996E-2</v>
      </c>
      <c r="E28" s="685"/>
      <c r="F28" s="685"/>
      <c r="G28" s="680"/>
      <c r="H28" s="679"/>
      <c r="I28" s="680"/>
      <c r="J28" s="680"/>
      <c r="K28" s="680"/>
      <c r="L28" s="680"/>
      <c r="M28" s="680"/>
      <c r="N28" s="680"/>
      <c r="O28" s="680"/>
      <c r="P28" s="680"/>
    </row>
    <row r="29" spans="1:16" ht="26.4">
      <c r="A29" s="705" t="s">
        <v>742</v>
      </c>
      <c r="B29" s="690" t="s">
        <v>743</v>
      </c>
      <c r="C29" s="696"/>
      <c r="D29" s="1087"/>
      <c r="E29" s="685"/>
      <c r="F29" s="685"/>
      <c r="G29" s="680"/>
      <c r="H29" s="679"/>
      <c r="I29" s="680"/>
      <c r="J29" s="680"/>
      <c r="K29" s="680"/>
      <c r="L29" s="680"/>
      <c r="M29" s="680"/>
      <c r="N29" s="680"/>
      <c r="O29" s="680"/>
      <c r="P29" s="680"/>
    </row>
    <row r="30" spans="1:16">
      <c r="A30" s="708"/>
      <c r="B30" s="690" t="s">
        <v>96</v>
      </c>
      <c r="C30" s="696"/>
      <c r="D30" s="1087"/>
      <c r="E30" s="685"/>
      <c r="F30" s="685"/>
      <c r="G30" s="680"/>
      <c r="H30" s="679"/>
      <c r="I30" s="680"/>
      <c r="J30" s="680"/>
      <c r="K30" s="680"/>
      <c r="L30" s="680"/>
      <c r="M30" s="680"/>
      <c r="N30" s="680"/>
      <c r="O30" s="680"/>
      <c r="P30" s="680"/>
    </row>
    <row r="31" spans="1:16">
      <c r="A31" s="709" t="s">
        <v>499</v>
      </c>
      <c r="B31" s="690" t="s">
        <v>500</v>
      </c>
      <c r="C31" s="696"/>
      <c r="D31" s="1087"/>
      <c r="E31" s="685"/>
      <c r="F31" s="685"/>
      <c r="G31" s="680"/>
      <c r="H31" s="679"/>
      <c r="I31" s="680"/>
      <c r="J31" s="680"/>
      <c r="K31" s="680"/>
      <c r="L31" s="680"/>
      <c r="M31" s="680"/>
      <c r="N31" s="680"/>
      <c r="O31" s="680"/>
      <c r="P31" s="680"/>
    </row>
    <row r="32" spans="1:16">
      <c r="A32" s="683"/>
      <c r="B32" s="690" t="s">
        <v>481</v>
      </c>
      <c r="C32" s="696"/>
      <c r="D32" s="1087"/>
      <c r="E32" s="685"/>
      <c r="F32" s="685"/>
      <c r="G32" s="680"/>
      <c r="H32" s="679"/>
      <c r="I32" s="680"/>
      <c r="J32" s="680"/>
      <c r="K32" s="680"/>
      <c r="L32" s="680"/>
      <c r="M32" s="680"/>
      <c r="N32" s="680"/>
      <c r="O32" s="680"/>
      <c r="P32" s="680"/>
    </row>
    <row r="33" spans="1:16">
      <c r="A33" s="683" t="s">
        <v>501</v>
      </c>
      <c r="B33" s="690" t="s">
        <v>502</v>
      </c>
      <c r="C33" s="696"/>
      <c r="D33" s="1087"/>
      <c r="E33" s="685"/>
      <c r="F33" s="685"/>
      <c r="G33" s="680"/>
      <c r="H33" s="679"/>
      <c r="I33" s="680"/>
      <c r="J33" s="680"/>
      <c r="K33" s="680"/>
      <c r="L33" s="680"/>
      <c r="M33" s="680"/>
      <c r="N33" s="680"/>
      <c r="O33" s="680"/>
      <c r="P33" s="680"/>
    </row>
    <row r="34" spans="1:16">
      <c r="A34" s="683" t="s">
        <v>503</v>
      </c>
      <c r="B34" s="690" t="s">
        <v>484</v>
      </c>
      <c r="C34" s="696"/>
      <c r="D34" s="1087"/>
      <c r="E34" s="685"/>
      <c r="F34" s="685"/>
      <c r="G34" s="680"/>
      <c r="H34" s="679"/>
      <c r="I34" s="680"/>
      <c r="J34" s="680"/>
      <c r="K34" s="680"/>
      <c r="L34" s="680"/>
      <c r="M34" s="680"/>
      <c r="N34" s="680"/>
      <c r="O34" s="680"/>
      <c r="P34" s="680"/>
    </row>
    <row r="35" spans="1:16">
      <c r="A35" s="683"/>
      <c r="B35" s="690" t="s">
        <v>481</v>
      </c>
      <c r="C35" s="696"/>
      <c r="D35" s="1087"/>
      <c r="E35" s="685"/>
      <c r="F35" s="685"/>
      <c r="G35" s="680"/>
      <c r="H35" s="679"/>
      <c r="I35" s="680"/>
      <c r="J35" s="680"/>
      <c r="K35" s="680"/>
      <c r="L35" s="680"/>
      <c r="M35" s="680"/>
      <c r="N35" s="680"/>
      <c r="O35" s="680"/>
      <c r="P35" s="680"/>
    </row>
    <row r="36" spans="1:16">
      <c r="A36" s="683" t="s">
        <v>504</v>
      </c>
      <c r="B36" s="690" t="s">
        <v>505</v>
      </c>
      <c r="C36" s="696"/>
      <c r="D36" s="1087"/>
      <c r="E36" s="685"/>
      <c r="F36" s="685"/>
      <c r="G36" s="680"/>
      <c r="H36" s="679"/>
      <c r="I36" s="680"/>
      <c r="J36" s="680"/>
      <c r="K36" s="680"/>
      <c r="L36" s="680"/>
      <c r="M36" s="680"/>
      <c r="N36" s="680"/>
      <c r="O36" s="680"/>
      <c r="P36" s="680"/>
    </row>
    <row r="37" spans="1:16">
      <c r="A37" s="683" t="s">
        <v>506</v>
      </c>
      <c r="B37" s="690" t="s">
        <v>507</v>
      </c>
      <c r="C37" s="696"/>
      <c r="D37" s="1087"/>
      <c r="E37" s="685"/>
      <c r="F37" s="685"/>
      <c r="G37" s="680"/>
      <c r="H37" s="679"/>
      <c r="I37" s="680"/>
      <c r="J37" s="680"/>
      <c r="K37" s="680"/>
      <c r="L37" s="680"/>
      <c r="M37" s="680"/>
      <c r="N37" s="680"/>
      <c r="O37" s="680"/>
      <c r="P37" s="680"/>
    </row>
    <row r="38" spans="1:16">
      <c r="A38" s="683"/>
      <c r="B38" s="690" t="s">
        <v>96</v>
      </c>
      <c r="C38" s="696"/>
      <c r="D38" s="1087"/>
      <c r="E38" s="685"/>
      <c r="F38" s="685"/>
      <c r="G38" s="680"/>
      <c r="H38" s="679"/>
      <c r="I38" s="680"/>
      <c r="J38" s="680"/>
      <c r="K38" s="680"/>
      <c r="L38" s="680"/>
      <c r="M38" s="680"/>
      <c r="N38" s="680"/>
      <c r="O38" s="680"/>
      <c r="P38" s="680"/>
    </row>
    <row r="39" spans="1:16">
      <c r="A39" s="683" t="s">
        <v>508</v>
      </c>
      <c r="B39" s="690" t="s">
        <v>509</v>
      </c>
      <c r="C39" s="696"/>
      <c r="D39" s="1087"/>
      <c r="E39" s="685"/>
      <c r="F39" s="685"/>
      <c r="G39" s="680"/>
      <c r="H39" s="679"/>
      <c r="I39" s="680"/>
      <c r="J39" s="680"/>
      <c r="K39" s="680"/>
      <c r="L39" s="680"/>
      <c r="M39" s="680"/>
      <c r="N39" s="680"/>
      <c r="O39" s="680"/>
      <c r="P39" s="680"/>
    </row>
    <row r="40" spans="1:16">
      <c r="A40" s="683" t="s">
        <v>510</v>
      </c>
      <c r="B40" s="690" t="s">
        <v>511</v>
      </c>
      <c r="C40" s="696"/>
      <c r="D40" s="1087"/>
      <c r="E40" s="685"/>
      <c r="F40" s="685"/>
      <c r="G40" s="680"/>
      <c r="H40" s="679"/>
      <c r="I40" s="680"/>
      <c r="J40" s="680"/>
      <c r="K40" s="680"/>
      <c r="L40" s="680"/>
      <c r="M40" s="680"/>
      <c r="N40" s="680"/>
      <c r="O40" s="680"/>
      <c r="P40" s="680"/>
    </row>
    <row r="41" spans="1:16">
      <c r="A41" s="683"/>
      <c r="B41" s="690" t="s">
        <v>251</v>
      </c>
      <c r="C41" s="696"/>
      <c r="D41" s="1087"/>
      <c r="E41" s="685"/>
      <c r="F41" s="685"/>
      <c r="G41" s="680"/>
      <c r="H41" s="679"/>
      <c r="I41" s="680"/>
      <c r="J41" s="680"/>
      <c r="K41" s="680"/>
      <c r="L41" s="680"/>
      <c r="M41" s="680"/>
      <c r="N41" s="680"/>
      <c r="O41" s="680"/>
      <c r="P41" s="680"/>
    </row>
    <row r="42" spans="1:16">
      <c r="A42" s="683" t="s">
        <v>512</v>
      </c>
      <c r="B42" s="690" t="s">
        <v>492</v>
      </c>
      <c r="C42" s="696"/>
      <c r="D42" s="1087"/>
      <c r="E42" s="685"/>
      <c r="F42" s="685"/>
      <c r="G42" s="680"/>
      <c r="H42" s="679"/>
      <c r="I42" s="680"/>
      <c r="J42" s="680"/>
      <c r="K42" s="680"/>
      <c r="L42" s="680"/>
      <c r="M42" s="680"/>
      <c r="N42" s="680"/>
      <c r="O42" s="680"/>
      <c r="P42" s="680"/>
    </row>
    <row r="43" spans="1:16">
      <c r="A43" s="683" t="s">
        <v>513</v>
      </c>
      <c r="B43" s="690" t="s">
        <v>494</v>
      </c>
      <c r="C43" s="696"/>
      <c r="D43" s="1087"/>
      <c r="E43" s="685"/>
      <c r="F43" s="685"/>
      <c r="G43" s="680"/>
      <c r="H43" s="679"/>
      <c r="I43" s="680"/>
      <c r="J43" s="680"/>
      <c r="K43" s="680"/>
      <c r="L43" s="680"/>
      <c r="M43" s="680"/>
      <c r="N43" s="680"/>
      <c r="O43" s="680"/>
      <c r="P43" s="680"/>
    </row>
    <row r="44" spans="1:16">
      <c r="A44" s="683"/>
      <c r="B44" s="690" t="s">
        <v>251</v>
      </c>
      <c r="C44" s="696"/>
      <c r="D44" s="1087"/>
      <c r="E44" s="685"/>
      <c r="F44" s="685"/>
      <c r="G44" s="680"/>
      <c r="H44" s="679"/>
      <c r="I44" s="680"/>
      <c r="J44" s="680"/>
      <c r="K44" s="680"/>
      <c r="L44" s="680"/>
      <c r="M44" s="680"/>
      <c r="N44" s="680"/>
      <c r="O44" s="680"/>
      <c r="P44" s="680"/>
    </row>
    <row r="45" spans="1:16">
      <c r="A45" s="683" t="s">
        <v>514</v>
      </c>
      <c r="B45" s="690" t="s">
        <v>505</v>
      </c>
      <c r="C45" s="696"/>
      <c r="D45" s="1087"/>
      <c r="E45" s="685"/>
      <c r="F45" s="685"/>
      <c r="G45" s="680"/>
      <c r="H45" s="679"/>
      <c r="I45" s="680"/>
      <c r="J45" s="680"/>
      <c r="K45" s="680"/>
      <c r="L45" s="680"/>
      <c r="M45" s="680"/>
      <c r="N45" s="680"/>
      <c r="O45" s="680"/>
      <c r="P45" s="680"/>
    </row>
    <row r="46" spans="1:16" ht="26.4">
      <c r="A46" s="699" t="s">
        <v>515</v>
      </c>
      <c r="B46" s="690" t="s">
        <v>516</v>
      </c>
      <c r="C46" s="696"/>
      <c r="D46" s="1087"/>
      <c r="E46" s="685"/>
      <c r="F46" s="685"/>
      <c r="G46" s="680"/>
      <c r="H46" s="679"/>
      <c r="I46" s="680"/>
      <c r="J46" s="680"/>
      <c r="K46" s="680"/>
      <c r="L46" s="680"/>
      <c r="M46" s="680"/>
      <c r="N46" s="680"/>
      <c r="O46" s="680"/>
      <c r="P46" s="680"/>
    </row>
    <row r="47" spans="1:16">
      <c r="A47" s="709" t="s">
        <v>517</v>
      </c>
      <c r="B47" s="710" t="s">
        <v>507</v>
      </c>
      <c r="C47" s="711"/>
      <c r="D47" s="1091"/>
      <c r="E47" s="712"/>
      <c r="F47" s="712"/>
      <c r="G47" s="680"/>
      <c r="H47" s="679"/>
      <c r="I47" s="680"/>
      <c r="J47" s="680"/>
      <c r="K47" s="680"/>
      <c r="L47" s="680"/>
      <c r="M47" s="680"/>
      <c r="N47" s="680"/>
      <c r="O47" s="680"/>
      <c r="P47" s="680"/>
    </row>
    <row r="48" spans="1:16" ht="26.4">
      <c r="A48" s="699" t="s">
        <v>518</v>
      </c>
      <c r="B48" s="690" t="s">
        <v>519</v>
      </c>
      <c r="C48" s="696"/>
      <c r="D48" s="1087"/>
      <c r="E48" s="685"/>
      <c r="F48" s="685"/>
      <c r="G48" s="680"/>
      <c r="H48" s="679"/>
      <c r="I48" s="680"/>
      <c r="J48" s="680"/>
      <c r="K48" s="680"/>
      <c r="L48" s="680"/>
      <c r="M48" s="680"/>
      <c r="N48" s="680"/>
      <c r="O48" s="680"/>
      <c r="P48" s="680"/>
    </row>
    <row r="49" spans="1:16">
      <c r="A49" s="683"/>
      <c r="B49" s="690" t="s">
        <v>96</v>
      </c>
      <c r="C49" s="696"/>
      <c r="D49" s="1087"/>
      <c r="E49" s="685"/>
      <c r="F49" s="685"/>
      <c r="G49" s="680"/>
      <c r="H49" s="679"/>
      <c r="I49" s="680"/>
      <c r="J49" s="680"/>
      <c r="K49" s="680"/>
      <c r="L49" s="680"/>
      <c r="M49" s="680"/>
      <c r="N49" s="680"/>
      <c r="O49" s="680"/>
      <c r="P49" s="680"/>
    </row>
    <row r="50" spans="1:16">
      <c r="A50" s="683" t="s">
        <v>520</v>
      </c>
      <c r="B50" s="690" t="s">
        <v>521</v>
      </c>
      <c r="C50" s="696"/>
      <c r="D50" s="1087"/>
      <c r="E50" s="685"/>
      <c r="F50" s="685" t="s">
        <v>744</v>
      </c>
      <c r="G50" s="680"/>
      <c r="H50" s="679"/>
      <c r="I50" s="680"/>
      <c r="J50" s="680"/>
      <c r="K50" s="680"/>
      <c r="L50" s="680"/>
      <c r="M50" s="680"/>
      <c r="N50" s="680"/>
      <c r="O50" s="680"/>
      <c r="P50" s="680"/>
    </row>
    <row r="51" spans="1:16">
      <c r="A51" s="683" t="s">
        <v>522</v>
      </c>
      <c r="B51" s="713" t="s">
        <v>523</v>
      </c>
      <c r="C51" s="696"/>
      <c r="D51" s="1087"/>
      <c r="E51" s="685"/>
      <c r="F51" s="685" t="s">
        <v>744</v>
      </c>
      <c r="G51" s="680"/>
      <c r="H51" s="679"/>
      <c r="I51" s="680"/>
      <c r="J51" s="680"/>
      <c r="K51" s="680"/>
      <c r="L51" s="680"/>
      <c r="M51" s="680"/>
      <c r="N51" s="680"/>
      <c r="O51" s="680"/>
      <c r="P51" s="680"/>
    </row>
    <row r="52" spans="1:16">
      <c r="A52" s="683" t="s">
        <v>524</v>
      </c>
      <c r="B52" s="713" t="s">
        <v>525</v>
      </c>
      <c r="C52" s="696"/>
      <c r="D52" s="1087"/>
      <c r="E52" s="685"/>
      <c r="F52" s="685" t="s">
        <v>744</v>
      </c>
      <c r="G52" s="680"/>
      <c r="H52" s="679"/>
      <c r="I52" s="680"/>
      <c r="J52" s="680"/>
      <c r="K52" s="680"/>
      <c r="L52" s="680"/>
      <c r="M52" s="680"/>
      <c r="N52" s="680"/>
      <c r="O52" s="680"/>
      <c r="P52" s="680"/>
    </row>
    <row r="53" spans="1:16">
      <c r="A53" s="683" t="s">
        <v>526</v>
      </c>
      <c r="B53" s="713" t="s">
        <v>527</v>
      </c>
      <c r="C53" s="696"/>
      <c r="D53" s="1087"/>
      <c r="E53" s="685"/>
      <c r="F53" s="685" t="s">
        <v>744</v>
      </c>
      <c r="G53" s="680"/>
      <c r="H53" s="679"/>
      <c r="I53" s="680"/>
      <c r="J53" s="680"/>
      <c r="K53" s="680"/>
      <c r="L53" s="680"/>
      <c r="M53" s="680"/>
      <c r="N53" s="680"/>
      <c r="O53" s="680"/>
      <c r="P53" s="680"/>
    </row>
    <row r="54" spans="1:16">
      <c r="A54" s="683" t="s">
        <v>528</v>
      </c>
      <c r="B54" s="713" t="s">
        <v>529</v>
      </c>
      <c r="C54" s="696"/>
      <c r="D54" s="1087"/>
      <c r="E54" s="685"/>
      <c r="F54" s="685" t="s">
        <v>744</v>
      </c>
      <c r="G54" s="680"/>
      <c r="H54" s="679"/>
      <c r="I54" s="680"/>
      <c r="J54" s="680"/>
      <c r="K54" s="680"/>
      <c r="L54" s="680"/>
      <c r="M54" s="680"/>
      <c r="N54" s="680"/>
      <c r="O54" s="680"/>
      <c r="P54" s="680"/>
    </row>
    <row r="55" spans="1:16" ht="26.4">
      <c r="A55" s="683" t="s">
        <v>530</v>
      </c>
      <c r="B55" s="690" t="s">
        <v>531</v>
      </c>
      <c r="C55" s="696">
        <f>C58</f>
        <v>33929.534</v>
      </c>
      <c r="D55" s="1087">
        <f>D58</f>
        <v>4.3114999999999997</v>
      </c>
      <c r="E55" s="685"/>
      <c r="F55" s="685"/>
      <c r="G55" s="680"/>
      <c r="H55" s="679"/>
      <c r="I55" s="680"/>
      <c r="J55" s="680"/>
      <c r="K55" s="680"/>
      <c r="L55" s="680"/>
      <c r="M55" s="680"/>
      <c r="N55" s="680"/>
      <c r="O55" s="680"/>
      <c r="P55" s="680"/>
    </row>
    <row r="56" spans="1:16">
      <c r="A56" s="683"/>
      <c r="B56" s="690" t="s">
        <v>481</v>
      </c>
      <c r="C56" s="696"/>
      <c r="D56" s="1087"/>
      <c r="E56" s="685"/>
      <c r="F56" s="685"/>
      <c r="G56" s="680"/>
      <c r="H56" s="679"/>
      <c r="I56" s="680"/>
      <c r="J56" s="680"/>
      <c r="K56" s="680"/>
      <c r="L56" s="680"/>
      <c r="M56" s="680"/>
      <c r="N56" s="680"/>
      <c r="O56" s="680"/>
      <c r="P56" s="680"/>
    </row>
    <row r="57" spans="1:16">
      <c r="A57" s="683" t="s">
        <v>532</v>
      </c>
      <c r="B57" s="690" t="s">
        <v>502</v>
      </c>
      <c r="C57" s="714"/>
      <c r="D57" s="1087"/>
      <c r="E57" s="685"/>
      <c r="F57" s="685"/>
      <c r="G57" s="680"/>
      <c r="H57" s="679"/>
      <c r="I57" s="680"/>
      <c r="J57" s="680"/>
      <c r="K57" s="680"/>
      <c r="L57" s="680"/>
      <c r="M57" s="680"/>
      <c r="N57" s="680"/>
      <c r="O57" s="680"/>
      <c r="P57" s="680"/>
    </row>
    <row r="58" spans="1:16">
      <c r="A58" s="683" t="s">
        <v>533</v>
      </c>
      <c r="B58" s="690" t="s">
        <v>484</v>
      </c>
      <c r="C58" s="696">
        <f>C60</f>
        <v>33929.534</v>
      </c>
      <c r="D58" s="1087">
        <f>D60</f>
        <v>4.3114999999999997</v>
      </c>
      <c r="E58" s="685"/>
      <c r="F58" s="685"/>
      <c r="G58" s="680"/>
      <c r="H58" s="679"/>
      <c r="I58" s="680"/>
      <c r="J58" s="680"/>
      <c r="K58" s="680"/>
      <c r="L58" s="680"/>
      <c r="M58" s="680"/>
      <c r="N58" s="680"/>
      <c r="O58" s="680"/>
      <c r="P58" s="680"/>
    </row>
    <row r="59" spans="1:16">
      <c r="A59" s="683"/>
      <c r="B59" s="690" t="s">
        <v>481</v>
      </c>
      <c r="C59" s="696"/>
      <c r="D59" s="1087"/>
      <c r="E59" s="685"/>
      <c r="F59" s="685"/>
      <c r="G59" s="680"/>
      <c r="H59" s="679"/>
      <c r="I59" s="680"/>
      <c r="J59" s="680"/>
      <c r="K59" s="680"/>
      <c r="L59" s="680"/>
      <c r="M59" s="680"/>
      <c r="N59" s="680"/>
      <c r="O59" s="680"/>
      <c r="P59" s="680"/>
    </row>
    <row r="60" spans="1:16">
      <c r="A60" s="683" t="s">
        <v>534</v>
      </c>
      <c r="B60" s="690" t="s">
        <v>421</v>
      </c>
      <c r="C60" s="696">
        <f>C64+C63+C78</f>
        <v>33929.534</v>
      </c>
      <c r="D60" s="1087">
        <f>D64+D63+D78</f>
        <v>4.3114999999999997</v>
      </c>
      <c r="E60" s="685"/>
      <c r="F60" s="685"/>
      <c r="G60" s="680"/>
      <c r="H60" s="679"/>
      <c r="I60" s="680"/>
      <c r="J60" s="680"/>
      <c r="K60" s="680"/>
      <c r="L60" s="680"/>
      <c r="M60" s="680"/>
      <c r="N60" s="680"/>
      <c r="O60" s="680"/>
      <c r="P60" s="680"/>
    </row>
    <row r="61" spans="1:16">
      <c r="A61" s="683" t="s">
        <v>535</v>
      </c>
      <c r="B61" s="690" t="s">
        <v>507</v>
      </c>
      <c r="C61" s="696"/>
      <c r="D61" s="1087"/>
      <c r="E61" s="685"/>
      <c r="F61" s="685"/>
      <c r="G61" s="680"/>
      <c r="H61" s="679"/>
      <c r="I61" s="680"/>
      <c r="J61" s="697"/>
      <c r="K61" s="680"/>
      <c r="L61" s="680"/>
      <c r="M61" s="680"/>
      <c r="N61" s="680"/>
      <c r="O61" s="680"/>
      <c r="P61" s="680"/>
    </row>
    <row r="62" spans="1:16">
      <c r="A62" s="683"/>
      <c r="B62" s="690" t="s">
        <v>96</v>
      </c>
      <c r="C62" s="696"/>
      <c r="D62" s="1087"/>
      <c r="E62" s="685"/>
      <c r="F62" s="685"/>
      <c r="G62" s="680"/>
      <c r="H62" s="679"/>
      <c r="I62" s="680"/>
      <c r="J62" s="697">
        <f>951/24727.66</f>
        <v>3.8458956488402057E-2</v>
      </c>
      <c r="K62" s="680"/>
      <c r="L62" s="680"/>
      <c r="M62" s="680"/>
      <c r="N62" s="680"/>
      <c r="O62" s="680"/>
      <c r="P62" s="680"/>
    </row>
    <row r="63" spans="1:16">
      <c r="A63" s="683" t="s">
        <v>536</v>
      </c>
      <c r="B63" s="690" t="s">
        <v>509</v>
      </c>
      <c r="C63" s="702">
        <f>ROUND((3.69/100*(H1-C80)),3)</f>
        <v>1252</v>
      </c>
      <c r="D63" s="1092">
        <f>ROUND((3.69/100*(H2-D80)),5)</f>
        <v>0.15909000000000001</v>
      </c>
      <c r="E63" s="685"/>
      <c r="F63" s="685"/>
      <c r="G63" s="688">
        <f>C63/D63</f>
        <v>7869.7592557671751</v>
      </c>
      <c r="H63" s="697">
        <f>C63/C55</f>
        <v>3.6900005758994513E-2</v>
      </c>
      <c r="I63" s="697" t="s">
        <v>249</v>
      </c>
      <c r="J63" s="697">
        <f>D63/D60</f>
        <v>3.6898991070393142E-2</v>
      </c>
      <c r="K63" s="680"/>
      <c r="L63" s="680"/>
      <c r="M63" s="680"/>
      <c r="N63" s="680"/>
      <c r="O63" s="680"/>
      <c r="P63" s="680"/>
    </row>
    <row r="64" spans="1:16">
      <c r="A64" s="683" t="s">
        <v>537</v>
      </c>
      <c r="B64" s="690" t="s">
        <v>511</v>
      </c>
      <c r="C64" s="696">
        <f>C66+C67</f>
        <v>26190.951000000001</v>
      </c>
      <c r="D64" s="1087">
        <f>D66+D67</f>
        <v>3.3082999999999996</v>
      </c>
      <c r="E64" s="685"/>
      <c r="F64" s="685"/>
      <c r="G64" s="715">
        <v>27257.311000000002</v>
      </c>
      <c r="H64" s="716">
        <f>C64/D64</f>
        <v>7916.7400175316643</v>
      </c>
      <c r="I64" s="697" t="s">
        <v>450</v>
      </c>
      <c r="J64" s="680"/>
      <c r="K64" s="680"/>
      <c r="L64" s="680"/>
      <c r="M64" s="680"/>
      <c r="N64" s="680"/>
      <c r="O64" s="680"/>
      <c r="P64" s="680"/>
    </row>
    <row r="65" spans="1:16">
      <c r="A65" s="683"/>
      <c r="B65" s="690" t="s">
        <v>251</v>
      </c>
      <c r="C65" s="717"/>
      <c r="D65" s="1093"/>
      <c r="E65" s="685"/>
      <c r="F65" s="685"/>
      <c r="G65" s="695">
        <v>3.2419999999999995</v>
      </c>
      <c r="H65" s="679"/>
      <c r="I65" s="695"/>
      <c r="J65" s="718"/>
      <c r="K65" s="680"/>
      <c r="L65" s="680"/>
      <c r="M65" s="680"/>
      <c r="N65" s="680"/>
      <c r="O65" s="680"/>
      <c r="P65" s="680"/>
    </row>
    <row r="66" spans="1:16">
      <c r="A66" s="683" t="s">
        <v>538</v>
      </c>
      <c r="B66" s="690" t="s">
        <v>492</v>
      </c>
      <c r="C66" s="696">
        <f>'2012 Баланс  '!C17</f>
        <v>4940.6400000000003</v>
      </c>
      <c r="D66" s="1087">
        <f>'2012 Баланс  '!C18</f>
        <v>0.60329999999999995</v>
      </c>
      <c r="E66" s="685"/>
      <c r="F66" s="685"/>
      <c r="G66" s="680"/>
      <c r="H66" s="679"/>
      <c r="I66" s="719"/>
      <c r="J66" s="720"/>
      <c r="K66" s="680"/>
      <c r="L66" s="680"/>
      <c r="M66" s="680"/>
      <c r="N66" s="680"/>
      <c r="O66" s="680"/>
      <c r="P66" s="680"/>
    </row>
    <row r="67" spans="1:16">
      <c r="A67" s="683" t="s">
        <v>539</v>
      </c>
      <c r="B67" s="690" t="s">
        <v>494</v>
      </c>
      <c r="C67" s="696">
        <f>C69+C71+C73</f>
        <v>21250.311000000002</v>
      </c>
      <c r="D67" s="1087">
        <f>D69+D71+D73</f>
        <v>2.7049999999999996</v>
      </c>
      <c r="E67" s="685"/>
      <c r="F67" s="685"/>
      <c r="G67" s="680"/>
      <c r="H67" s="716">
        <f>C67/D67</f>
        <v>7855.9375231053618</v>
      </c>
      <c r="I67" s="697" t="s">
        <v>450</v>
      </c>
      <c r="J67" s="721"/>
      <c r="K67" s="680"/>
      <c r="L67" s="680"/>
      <c r="M67" s="680"/>
      <c r="N67" s="680"/>
      <c r="O67" s="680"/>
      <c r="P67" s="680"/>
    </row>
    <row r="68" spans="1:16">
      <c r="A68" s="683"/>
      <c r="B68" s="690" t="s">
        <v>251</v>
      </c>
      <c r="C68" s="696"/>
      <c r="D68" s="1087"/>
      <c r="E68" s="685"/>
      <c r="F68" s="685"/>
      <c r="G68" s="680"/>
      <c r="H68" s="679"/>
      <c r="I68" s="680"/>
      <c r="J68" s="721"/>
      <c r="K68" s="680"/>
      <c r="L68" s="680"/>
      <c r="M68" s="680"/>
      <c r="N68" s="680"/>
      <c r="O68" s="680"/>
      <c r="P68" s="680"/>
    </row>
    <row r="69" spans="1:16">
      <c r="A69" s="683" t="s">
        <v>541</v>
      </c>
      <c r="B69" s="703" t="s">
        <v>447</v>
      </c>
      <c r="C69" s="707">
        <f>'Прилож.1-2012г.'!C35</f>
        <v>19763</v>
      </c>
      <c r="D69" s="1090">
        <f>'Прилож.1-2012г.'!D35</f>
        <v>2.5099999999999998</v>
      </c>
      <c r="E69" s="685"/>
      <c r="F69" s="685"/>
      <c r="G69" s="680"/>
      <c r="H69" s="716">
        <f>C69/D69</f>
        <v>7873.7051792828688</v>
      </c>
      <c r="I69" s="697" t="s">
        <v>450</v>
      </c>
      <c r="J69" s="720"/>
      <c r="K69" s="680"/>
      <c r="L69" s="680"/>
      <c r="M69" s="680"/>
      <c r="N69" s="680"/>
      <c r="O69" s="680"/>
      <c r="P69" s="680"/>
    </row>
    <row r="70" spans="1:16" ht="26.4">
      <c r="A70" s="699" t="s">
        <v>542</v>
      </c>
      <c r="B70" s="690" t="s">
        <v>540</v>
      </c>
      <c r="C70" s="696"/>
      <c r="D70" s="1087"/>
      <c r="E70" s="685"/>
      <c r="F70" s="685"/>
      <c r="G70" s="680"/>
      <c r="H70" s="679"/>
      <c r="I70" s="680"/>
      <c r="J70" s="721"/>
      <c r="K70" s="680"/>
      <c r="L70" s="680"/>
      <c r="M70" s="680"/>
      <c r="N70" s="680"/>
      <c r="O70" s="680"/>
      <c r="P70" s="680"/>
    </row>
    <row r="71" spans="1:16">
      <c r="A71" s="683" t="s">
        <v>745</v>
      </c>
      <c r="B71" s="703" t="s">
        <v>746</v>
      </c>
      <c r="C71" s="707">
        <f>'Прилож.1-2012г.'!C33</f>
        <v>813.31100000000004</v>
      </c>
      <c r="D71" s="1090">
        <f>'Прилож.1-2012г.'!D33</f>
        <v>9.2999999999999999E-2</v>
      </c>
      <c r="E71" s="685"/>
      <c r="F71" s="685"/>
      <c r="G71" s="680"/>
      <c r="H71" s="716">
        <f>C71/D71</f>
        <v>8745.2795698924729</v>
      </c>
      <c r="I71" s="697" t="s">
        <v>450</v>
      </c>
      <c r="J71" s="720"/>
      <c r="K71" s="680"/>
      <c r="L71" s="680"/>
      <c r="M71" s="680"/>
      <c r="N71" s="680"/>
      <c r="O71" s="680"/>
      <c r="P71" s="680"/>
    </row>
    <row r="72" spans="1:16" ht="26.4">
      <c r="A72" s="699" t="s">
        <v>747</v>
      </c>
      <c r="B72" s="690" t="s">
        <v>540</v>
      </c>
      <c r="C72" s="696"/>
      <c r="D72" s="1087"/>
      <c r="E72" s="685"/>
      <c r="F72" s="685"/>
      <c r="G72" s="680"/>
      <c r="H72" s="679"/>
      <c r="I72" s="680"/>
      <c r="J72" s="721"/>
      <c r="K72" s="680"/>
      <c r="L72" s="680"/>
      <c r="M72" s="680"/>
      <c r="N72" s="680"/>
      <c r="O72" s="680"/>
      <c r="P72" s="680"/>
    </row>
    <row r="73" spans="1:16">
      <c r="A73" s="683" t="s">
        <v>748</v>
      </c>
      <c r="B73" s="703" t="s">
        <v>738</v>
      </c>
      <c r="C73" s="707">
        <f>'Прилож.1-2012г.'!C45</f>
        <v>674</v>
      </c>
      <c r="D73" s="1090">
        <f>'Прилож.1-2012г.'!D45</f>
        <v>0.10199999999999999</v>
      </c>
      <c r="E73" s="685"/>
      <c r="F73" s="685"/>
      <c r="G73" s="680"/>
      <c r="H73" s="716">
        <f>C73/D73</f>
        <v>6607.8431372549021</v>
      </c>
      <c r="I73" s="697" t="s">
        <v>450</v>
      </c>
      <c r="J73" s="720"/>
      <c r="K73" s="680"/>
      <c r="L73" s="680"/>
      <c r="M73" s="680"/>
      <c r="N73" s="680"/>
      <c r="O73" s="680"/>
      <c r="P73" s="680"/>
    </row>
    <row r="74" spans="1:16" ht="26.4">
      <c r="A74" s="699" t="s">
        <v>749</v>
      </c>
      <c r="B74" s="690" t="s">
        <v>543</v>
      </c>
      <c r="C74" s="696"/>
      <c r="D74" s="1087"/>
      <c r="E74" s="685"/>
      <c r="F74" s="685"/>
      <c r="G74" s="680"/>
      <c r="H74" s="679"/>
      <c r="I74" s="680"/>
      <c r="J74" s="680"/>
      <c r="K74" s="680"/>
      <c r="L74" s="680"/>
      <c r="M74" s="680"/>
      <c r="N74" s="680"/>
      <c r="O74" s="680"/>
      <c r="P74" s="680"/>
    </row>
    <row r="75" spans="1:16">
      <c r="A75" s="683"/>
      <c r="B75" s="690" t="s">
        <v>96</v>
      </c>
      <c r="C75" s="696"/>
      <c r="D75" s="1087"/>
      <c r="E75" s="685"/>
      <c r="F75" s="685"/>
      <c r="G75" s="680"/>
      <c r="H75" s="679"/>
      <c r="I75" s="680"/>
      <c r="J75" s="680"/>
      <c r="K75" s="680"/>
      <c r="L75" s="680"/>
      <c r="M75" s="680"/>
      <c r="N75" s="680"/>
      <c r="O75" s="680"/>
      <c r="P75" s="680"/>
    </row>
    <row r="76" spans="1:16">
      <c r="A76" s="683" t="s">
        <v>544</v>
      </c>
      <c r="B76" s="690" t="s">
        <v>545</v>
      </c>
      <c r="C76" s="696">
        <f>C78</f>
        <v>6486.5829999999987</v>
      </c>
      <c r="D76" s="1087">
        <f>D78</f>
        <v>0.84410999999999992</v>
      </c>
      <c r="E76" s="685"/>
      <c r="F76" s="685" t="s">
        <v>744</v>
      </c>
      <c r="G76" s="680"/>
      <c r="H76" s="679"/>
      <c r="I76" s="680"/>
      <c r="J76" s="680"/>
      <c r="K76" s="680"/>
      <c r="L76" s="680"/>
      <c r="M76" s="680"/>
      <c r="N76" s="680"/>
      <c r="O76" s="680"/>
      <c r="P76" s="680"/>
    </row>
    <row r="77" spans="1:16">
      <c r="A77" s="683" t="s">
        <v>546</v>
      </c>
      <c r="B77" s="713" t="s">
        <v>525</v>
      </c>
      <c r="C77" s="696"/>
      <c r="D77" s="1087"/>
      <c r="E77" s="685"/>
      <c r="F77" s="685" t="s">
        <v>744</v>
      </c>
      <c r="G77" s="680"/>
      <c r="H77" s="679"/>
      <c r="I77" s="680"/>
      <c r="J77" s="680"/>
      <c r="K77" s="680"/>
      <c r="L77" s="680"/>
      <c r="M77" s="680"/>
      <c r="N77" s="680"/>
      <c r="O77" s="680"/>
      <c r="P77" s="680"/>
    </row>
    <row r="78" spans="1:16">
      <c r="A78" s="683" t="s">
        <v>547</v>
      </c>
      <c r="B78" s="713" t="s">
        <v>527</v>
      </c>
      <c r="C78" s="1076">
        <f>C102-C100</f>
        <v>6486.5829999999987</v>
      </c>
      <c r="D78" s="1088">
        <f>D102-D100</f>
        <v>0.84410999999999992</v>
      </c>
      <c r="E78" s="685"/>
      <c r="F78" s="685" t="s">
        <v>744</v>
      </c>
      <c r="G78" s="680"/>
      <c r="H78" s="722"/>
      <c r="I78" s="695"/>
      <c r="J78" s="680"/>
      <c r="K78" s="680"/>
      <c r="L78" s="680"/>
      <c r="M78" s="680"/>
      <c r="N78" s="680"/>
      <c r="O78" s="680"/>
      <c r="P78" s="680"/>
    </row>
    <row r="79" spans="1:16">
      <c r="A79" s="683" t="s">
        <v>548</v>
      </c>
      <c r="B79" s="713" t="s">
        <v>529</v>
      </c>
      <c r="C79" s="696"/>
      <c r="D79" s="1087"/>
      <c r="E79" s="685"/>
      <c r="F79" s="685" t="s">
        <v>744</v>
      </c>
      <c r="G79" s="680"/>
      <c r="H79" s="679"/>
      <c r="I79" s="680"/>
      <c r="J79" s="680"/>
      <c r="K79" s="680"/>
      <c r="L79" s="680"/>
      <c r="M79" s="680"/>
      <c r="N79" s="680"/>
      <c r="O79" s="680"/>
      <c r="P79" s="680"/>
    </row>
    <row r="80" spans="1:16">
      <c r="A80" s="683" t="s">
        <v>549</v>
      </c>
      <c r="B80" s="690" t="s">
        <v>550</v>
      </c>
      <c r="C80" s="1076">
        <f>C83+C82</f>
        <v>462.21499999999997</v>
      </c>
      <c r="D80" s="1088">
        <f>D83+D82</f>
        <v>6.5000000000000002E-2</v>
      </c>
      <c r="E80" s="685"/>
      <c r="F80" s="685"/>
      <c r="G80" s="680"/>
      <c r="H80" s="679"/>
      <c r="I80" s="680"/>
      <c r="J80" s="680"/>
      <c r="K80" s="680"/>
      <c r="L80" s="680"/>
      <c r="M80" s="680"/>
      <c r="N80" s="680"/>
      <c r="O80" s="680"/>
      <c r="P80" s="680"/>
    </row>
    <row r="81" spans="1:16">
      <c r="A81" s="683"/>
      <c r="B81" s="690" t="s">
        <v>481</v>
      </c>
      <c r="C81" s="1076"/>
      <c r="D81" s="1088"/>
      <c r="E81" s="685"/>
      <c r="F81" s="685"/>
      <c r="G81" s="680"/>
      <c r="H81" s="679"/>
      <c r="I81" s="680"/>
      <c r="J81" s="680"/>
      <c r="K81" s="680"/>
      <c r="L81" s="680"/>
      <c r="M81" s="680"/>
      <c r="N81" s="680"/>
      <c r="O81" s="680"/>
      <c r="P81" s="680"/>
    </row>
    <row r="82" spans="1:16">
      <c r="A82" s="683" t="s">
        <v>551</v>
      </c>
      <c r="B82" s="690" t="s">
        <v>502</v>
      </c>
      <c r="C82" s="1076"/>
      <c r="D82" s="1088"/>
      <c r="E82" s="685"/>
      <c r="F82" s="685"/>
      <c r="G82" s="680"/>
      <c r="H82" s="679"/>
      <c r="I82" s="680"/>
      <c r="J82" s="680"/>
      <c r="K82" s="680"/>
      <c r="L82" s="680"/>
      <c r="M82" s="680"/>
      <c r="N82" s="680"/>
      <c r="O82" s="680"/>
      <c r="P82" s="680"/>
    </row>
    <row r="83" spans="1:16">
      <c r="A83" s="683" t="s">
        <v>552</v>
      </c>
      <c r="B83" s="690" t="s">
        <v>484</v>
      </c>
      <c r="C83" s="1076">
        <f>C85</f>
        <v>462.21499999999997</v>
      </c>
      <c r="D83" s="1088">
        <f>D85</f>
        <v>6.5000000000000002E-2</v>
      </c>
      <c r="E83" s="685"/>
      <c r="F83" s="685"/>
      <c r="G83" s="680"/>
      <c r="H83" s="679"/>
      <c r="I83" s="680"/>
      <c r="J83" s="680"/>
      <c r="K83" s="680"/>
      <c r="L83" s="680"/>
      <c r="M83" s="680"/>
      <c r="N83" s="680"/>
      <c r="O83" s="680"/>
      <c r="P83" s="680"/>
    </row>
    <row r="84" spans="1:16">
      <c r="A84" s="683"/>
      <c r="B84" s="690" t="s">
        <v>553</v>
      </c>
      <c r="C84" s="1076"/>
      <c r="D84" s="1088"/>
      <c r="E84" s="685"/>
      <c r="F84" s="685"/>
      <c r="G84" s="680"/>
      <c r="H84" s="679"/>
      <c r="I84" s="680"/>
      <c r="J84" s="680"/>
      <c r="K84" s="680"/>
      <c r="L84" s="680"/>
      <c r="M84" s="680"/>
      <c r="N84" s="680"/>
      <c r="O84" s="680"/>
      <c r="P84" s="680"/>
    </row>
    <row r="85" spans="1:16">
      <c r="A85" s="683" t="s">
        <v>554</v>
      </c>
      <c r="B85" s="1075" t="s">
        <v>1104</v>
      </c>
      <c r="C85" s="1078">
        <v>462.21499999999997</v>
      </c>
      <c r="D85" s="1094">
        <v>6.5000000000000002E-2</v>
      </c>
      <c r="E85" s="685"/>
      <c r="F85" s="685"/>
      <c r="G85" s="680"/>
      <c r="H85" s="1077">
        <f>C85/D85</f>
        <v>7110.9999999999991</v>
      </c>
      <c r="I85" s="680"/>
      <c r="J85" s="680"/>
      <c r="K85" s="680"/>
      <c r="L85" s="680"/>
      <c r="M85" s="680"/>
      <c r="N85" s="680"/>
      <c r="O85" s="680"/>
      <c r="P85" s="680"/>
    </row>
    <row r="86" spans="1:16">
      <c r="A86" s="683" t="s">
        <v>555</v>
      </c>
      <c r="B86" s="690" t="s">
        <v>507</v>
      </c>
      <c r="C86" s="696"/>
      <c r="D86" s="1087"/>
      <c r="E86" s="685"/>
      <c r="F86" s="685"/>
      <c r="G86" s="680"/>
      <c r="H86" s="679"/>
      <c r="I86" s="680"/>
      <c r="J86" s="680"/>
      <c r="K86" s="680"/>
      <c r="L86" s="680"/>
      <c r="M86" s="680"/>
      <c r="N86" s="680"/>
      <c r="O86" s="680"/>
      <c r="P86" s="680"/>
    </row>
    <row r="87" spans="1:16">
      <c r="A87" s="683"/>
      <c r="B87" s="690" t="s">
        <v>96</v>
      </c>
      <c r="C87" s="696"/>
      <c r="D87" s="1087"/>
      <c r="E87" s="685"/>
      <c r="F87" s="685"/>
      <c r="G87" s="680"/>
      <c r="H87" s="679"/>
      <c r="I87" s="680"/>
      <c r="J87" s="680"/>
      <c r="K87" s="680"/>
      <c r="L87" s="680"/>
      <c r="M87" s="680"/>
      <c r="N87" s="680"/>
      <c r="O87" s="680"/>
      <c r="P87" s="680"/>
    </row>
    <row r="88" spans="1:16">
      <c r="A88" s="683" t="s">
        <v>556</v>
      </c>
      <c r="B88" s="690" t="s">
        <v>509</v>
      </c>
      <c r="C88" s="696"/>
      <c r="D88" s="1087"/>
      <c r="E88" s="685"/>
      <c r="F88" s="685"/>
      <c r="G88" s="680"/>
      <c r="H88" s="679"/>
      <c r="I88" s="680"/>
      <c r="J88" s="680"/>
      <c r="K88" s="680"/>
      <c r="L88" s="680"/>
      <c r="M88" s="680"/>
      <c r="N88" s="680"/>
      <c r="O88" s="680"/>
      <c r="P88" s="680"/>
    </row>
    <row r="89" spans="1:16">
      <c r="A89" s="683" t="s">
        <v>557</v>
      </c>
      <c r="B89" s="690" t="s">
        <v>511</v>
      </c>
      <c r="C89" s="696"/>
      <c r="D89" s="1087"/>
      <c r="E89" s="685"/>
      <c r="F89" s="685"/>
      <c r="G89" s="680"/>
      <c r="H89" s="679"/>
      <c r="I89" s="680"/>
      <c r="J89" s="680"/>
      <c r="K89" s="680"/>
      <c r="L89" s="680"/>
      <c r="M89" s="680"/>
      <c r="N89" s="680"/>
      <c r="O89" s="680"/>
      <c r="P89" s="680"/>
    </row>
    <row r="90" spans="1:16">
      <c r="A90" s="683"/>
      <c r="B90" s="690" t="s">
        <v>251</v>
      </c>
      <c r="C90" s="696"/>
      <c r="D90" s="1087"/>
      <c r="E90" s="685"/>
      <c r="F90" s="685"/>
      <c r="G90" s="680"/>
      <c r="H90" s="679"/>
      <c r="I90" s="680"/>
      <c r="J90" s="680"/>
      <c r="K90" s="680"/>
      <c r="L90" s="680"/>
      <c r="M90" s="680"/>
      <c r="N90" s="680"/>
      <c r="O90" s="680"/>
      <c r="P90" s="680"/>
    </row>
    <row r="91" spans="1:16">
      <c r="A91" s="683" t="s">
        <v>558</v>
      </c>
      <c r="B91" s="690" t="s">
        <v>492</v>
      </c>
      <c r="C91" s="696"/>
      <c r="D91" s="1087"/>
      <c r="E91" s="685"/>
      <c r="F91" s="685"/>
      <c r="G91" s="680"/>
      <c r="H91" s="679"/>
      <c r="I91" s="680"/>
      <c r="J91" s="680"/>
      <c r="K91" s="680"/>
      <c r="L91" s="680"/>
      <c r="M91" s="680"/>
      <c r="N91" s="680"/>
      <c r="O91" s="680"/>
      <c r="P91" s="680"/>
    </row>
    <row r="92" spans="1:16">
      <c r="A92" s="683" t="s">
        <v>559</v>
      </c>
      <c r="B92" s="690" t="s">
        <v>494</v>
      </c>
      <c r="C92" s="696"/>
      <c r="D92" s="1087"/>
      <c r="E92" s="685"/>
      <c r="F92" s="685"/>
      <c r="G92" s="680"/>
      <c r="H92" s="679"/>
      <c r="I92" s="680"/>
      <c r="J92" s="680"/>
      <c r="K92" s="680"/>
      <c r="L92" s="680"/>
      <c r="M92" s="680"/>
      <c r="N92" s="680"/>
      <c r="O92" s="680"/>
      <c r="P92" s="680"/>
    </row>
    <row r="93" spans="1:16">
      <c r="A93" s="683"/>
      <c r="B93" s="690" t="s">
        <v>251</v>
      </c>
      <c r="C93" s="696"/>
      <c r="D93" s="1087"/>
      <c r="E93" s="685"/>
      <c r="F93" s="685"/>
      <c r="G93" s="680"/>
      <c r="H93" s="679"/>
      <c r="I93" s="680"/>
      <c r="J93" s="680"/>
      <c r="K93" s="680"/>
      <c r="L93" s="680"/>
      <c r="M93" s="680"/>
      <c r="N93" s="680"/>
      <c r="O93" s="680"/>
      <c r="P93" s="680"/>
    </row>
    <row r="94" spans="1:16">
      <c r="A94" s="683" t="s">
        <v>560</v>
      </c>
      <c r="B94" s="690" t="s">
        <v>505</v>
      </c>
      <c r="C94" s="696"/>
      <c r="D94" s="1087"/>
      <c r="E94" s="685"/>
      <c r="F94" s="685"/>
      <c r="G94" s="680"/>
      <c r="H94" s="679"/>
      <c r="I94" s="680"/>
      <c r="J94" s="680"/>
      <c r="K94" s="680"/>
      <c r="L94" s="680"/>
      <c r="M94" s="680"/>
      <c r="N94" s="680"/>
      <c r="O94" s="680"/>
      <c r="P94" s="680"/>
    </row>
    <row r="95" spans="1:16" ht="26.4">
      <c r="A95" s="699" t="s">
        <v>561</v>
      </c>
      <c r="B95" s="690" t="s">
        <v>562</v>
      </c>
      <c r="C95" s="696"/>
      <c r="D95" s="1087"/>
      <c r="E95" s="685"/>
      <c r="F95" s="685"/>
      <c r="G95" s="680"/>
      <c r="H95" s="679"/>
      <c r="I95" s="680"/>
      <c r="J95" s="680"/>
      <c r="K95" s="680"/>
      <c r="L95" s="680"/>
      <c r="M95" s="680"/>
      <c r="N95" s="680"/>
      <c r="O95" s="680"/>
      <c r="P95" s="680"/>
    </row>
    <row r="96" spans="1:16">
      <c r="A96" s="683" t="s">
        <v>563</v>
      </c>
      <c r="B96" s="690" t="s">
        <v>507</v>
      </c>
      <c r="C96" s="696"/>
      <c r="D96" s="1087"/>
      <c r="E96" s="685"/>
      <c r="F96" s="685"/>
      <c r="G96" s="680"/>
      <c r="H96" s="679"/>
      <c r="I96" s="680"/>
      <c r="J96" s="680"/>
      <c r="K96" s="680"/>
      <c r="L96" s="680"/>
      <c r="M96" s="680"/>
      <c r="N96" s="680"/>
      <c r="O96" s="680"/>
      <c r="P96" s="680"/>
    </row>
    <row r="97" spans="1:16" ht="26.4">
      <c r="A97" s="699" t="s">
        <v>564</v>
      </c>
      <c r="B97" s="690" t="s">
        <v>565</v>
      </c>
      <c r="C97" s="696"/>
      <c r="D97" s="1087"/>
      <c r="E97" s="685"/>
      <c r="F97" s="685"/>
      <c r="G97" s="680"/>
      <c r="H97" s="679"/>
      <c r="I97" s="680"/>
      <c r="J97" s="680"/>
      <c r="K97" s="680"/>
      <c r="L97" s="680"/>
      <c r="M97" s="680"/>
      <c r="N97" s="680"/>
      <c r="O97" s="680"/>
      <c r="P97" s="680"/>
    </row>
    <row r="98" spans="1:16">
      <c r="A98" s="683"/>
      <c r="B98" s="690" t="s">
        <v>96</v>
      </c>
      <c r="C98" s="696"/>
      <c r="D98" s="1087"/>
      <c r="E98" s="685"/>
      <c r="F98" s="685"/>
      <c r="G98" s="680"/>
      <c r="H98" s="679"/>
      <c r="I98" s="680"/>
      <c r="J98" s="680"/>
      <c r="K98" s="680"/>
      <c r="L98" s="680"/>
      <c r="M98" s="680"/>
      <c r="N98" s="680"/>
      <c r="O98" s="680"/>
      <c r="P98" s="680"/>
    </row>
    <row r="99" spans="1:16">
      <c r="A99" s="683" t="s">
        <v>566</v>
      </c>
      <c r="B99" s="690" t="s">
        <v>567</v>
      </c>
      <c r="C99" s="696"/>
      <c r="D99" s="1087"/>
      <c r="E99" s="685"/>
      <c r="F99" s="685" t="s">
        <v>744</v>
      </c>
      <c r="G99" s="680"/>
      <c r="H99" s="679"/>
      <c r="I99" s="680"/>
      <c r="J99" s="680"/>
      <c r="K99" s="680"/>
      <c r="L99" s="680"/>
      <c r="M99" s="680"/>
      <c r="N99" s="680"/>
      <c r="O99" s="680"/>
      <c r="P99" s="680"/>
    </row>
    <row r="100" spans="1:16">
      <c r="A100" s="683" t="s">
        <v>568</v>
      </c>
      <c r="B100" s="713" t="s">
        <v>527</v>
      </c>
      <c r="C100" s="1076">
        <f>C85</f>
        <v>462.21499999999997</v>
      </c>
      <c r="D100" s="1088">
        <f>D85</f>
        <v>6.5000000000000002E-2</v>
      </c>
      <c r="E100" s="685"/>
      <c r="F100" s="685" t="s">
        <v>744</v>
      </c>
      <c r="G100" s="680"/>
      <c r="H100" s="1077">
        <f>C100/D100</f>
        <v>7110.9999999999991</v>
      </c>
      <c r="I100" s="680"/>
      <c r="J100" s="680"/>
      <c r="K100" s="680"/>
      <c r="L100" s="680"/>
      <c r="M100" s="680"/>
      <c r="N100" s="680"/>
      <c r="O100" s="680"/>
      <c r="P100" s="680"/>
    </row>
    <row r="101" spans="1:16">
      <c r="A101" s="683" t="s">
        <v>569</v>
      </c>
      <c r="B101" s="713" t="s">
        <v>529</v>
      </c>
      <c r="C101" s="696"/>
      <c r="D101" s="1087"/>
      <c r="E101" s="685"/>
      <c r="F101" s="685" t="s">
        <v>744</v>
      </c>
      <c r="G101" s="680"/>
      <c r="H101" s="679"/>
      <c r="I101" s="680"/>
      <c r="J101" s="680"/>
      <c r="K101" s="680"/>
      <c r="L101" s="680"/>
      <c r="M101" s="680"/>
      <c r="N101" s="680"/>
      <c r="O101" s="680"/>
      <c r="P101" s="680"/>
    </row>
    <row r="102" spans="1:16">
      <c r="A102" s="683" t="s">
        <v>570</v>
      </c>
      <c r="B102" s="690" t="s">
        <v>571</v>
      </c>
      <c r="C102" s="696">
        <f>C111+C110+C122</f>
        <v>6948.7979999999989</v>
      </c>
      <c r="D102" s="1087">
        <f>D111+D110+D122</f>
        <v>0.90910999999999997</v>
      </c>
      <c r="E102" s="685"/>
      <c r="F102" s="685"/>
      <c r="G102" s="680" t="s">
        <v>348</v>
      </c>
      <c r="H102" s="700">
        <f>C100+C78</f>
        <v>6948.7979999999989</v>
      </c>
      <c r="I102" s="1084">
        <f>D100+D78</f>
        <v>0.90910999999999986</v>
      </c>
      <c r="J102" s="680"/>
      <c r="K102" s="680"/>
      <c r="L102" s="680"/>
      <c r="M102" s="680"/>
      <c r="N102" s="680"/>
      <c r="O102" s="680"/>
      <c r="P102" s="680"/>
    </row>
    <row r="103" spans="1:16">
      <c r="A103" s="683"/>
      <c r="B103" s="690" t="s">
        <v>481</v>
      </c>
      <c r="C103" s="696"/>
      <c r="D103" s="1087"/>
      <c r="E103" s="685"/>
      <c r="F103" s="685"/>
      <c r="G103" s="680"/>
      <c r="H103" s="679"/>
      <c r="I103" s="680"/>
      <c r="J103" s="680"/>
      <c r="K103" s="680"/>
      <c r="L103" s="680"/>
      <c r="M103" s="680"/>
      <c r="N103" s="680"/>
      <c r="O103" s="680"/>
      <c r="P103" s="680"/>
    </row>
    <row r="104" spans="1:16">
      <c r="A104" s="683" t="s">
        <v>572</v>
      </c>
      <c r="B104" s="690" t="s">
        <v>502</v>
      </c>
      <c r="C104" s="696"/>
      <c r="D104" s="1087"/>
      <c r="E104" s="685"/>
      <c r="F104" s="685"/>
      <c r="G104" s="680"/>
      <c r="H104" s="679"/>
      <c r="I104" s="680"/>
      <c r="J104" s="680"/>
      <c r="K104" s="680"/>
      <c r="L104" s="680"/>
      <c r="M104" s="680"/>
      <c r="N104" s="680"/>
      <c r="O104" s="680"/>
      <c r="P104" s="680"/>
    </row>
    <row r="105" spans="1:16">
      <c r="A105" s="683" t="s">
        <v>573</v>
      </c>
      <c r="B105" s="690" t="s">
        <v>484</v>
      </c>
      <c r="C105" s="696"/>
      <c r="D105" s="1087"/>
      <c r="E105" s="685"/>
      <c r="F105" s="685"/>
      <c r="G105" s="680"/>
      <c r="H105" s="679"/>
      <c r="I105" s="680"/>
      <c r="J105" s="680"/>
      <c r="K105" s="680"/>
      <c r="L105" s="680"/>
      <c r="M105" s="680"/>
      <c r="N105" s="680"/>
      <c r="O105" s="680"/>
      <c r="P105" s="680"/>
    </row>
    <row r="106" spans="1:16">
      <c r="A106" s="683"/>
      <c r="B106" s="690" t="s">
        <v>481</v>
      </c>
      <c r="C106" s="696"/>
      <c r="D106" s="1087"/>
      <c r="E106" s="685"/>
      <c r="F106" s="685"/>
      <c r="G106" s="680"/>
      <c r="H106" s="679"/>
      <c r="I106" s="680"/>
      <c r="J106" s="680"/>
      <c r="K106" s="680"/>
      <c r="L106" s="680"/>
      <c r="M106" s="680"/>
      <c r="N106" s="680"/>
      <c r="O106" s="680"/>
      <c r="P106" s="680"/>
    </row>
    <row r="107" spans="1:16">
      <c r="A107" s="683" t="s">
        <v>574</v>
      </c>
      <c r="B107" s="690" t="s">
        <v>505</v>
      </c>
      <c r="C107" s="696"/>
      <c r="D107" s="1087"/>
      <c r="E107" s="685"/>
      <c r="F107" s="685"/>
      <c r="G107" s="680"/>
      <c r="H107" s="679"/>
      <c r="I107" s="680"/>
      <c r="J107" s="680"/>
      <c r="K107" s="680"/>
      <c r="L107" s="680"/>
      <c r="M107" s="680"/>
      <c r="N107" s="680"/>
      <c r="O107" s="680"/>
      <c r="P107" s="680"/>
    </row>
    <row r="108" spans="1:16">
      <c r="A108" s="683" t="s">
        <v>575</v>
      </c>
      <c r="B108" s="690" t="s">
        <v>507</v>
      </c>
      <c r="C108" s="696"/>
      <c r="D108" s="1087"/>
      <c r="E108" s="685"/>
      <c r="F108" s="685"/>
      <c r="G108" s="680"/>
      <c r="H108" s="679"/>
      <c r="I108" s="680"/>
      <c r="J108" s="680"/>
      <c r="K108" s="680"/>
      <c r="L108" s="680"/>
      <c r="M108" s="680"/>
      <c r="N108" s="680"/>
      <c r="O108" s="680"/>
      <c r="P108" s="680"/>
    </row>
    <row r="109" spans="1:16" hidden="1">
      <c r="A109" s="683"/>
      <c r="B109" s="690" t="s">
        <v>96</v>
      </c>
      <c r="C109" s="696"/>
      <c r="D109" s="1087"/>
      <c r="E109" s="685"/>
      <c r="F109" s="685"/>
      <c r="G109" s="680"/>
      <c r="H109" s="679"/>
      <c r="I109" s="680"/>
      <c r="J109" s="680"/>
      <c r="K109" s="680"/>
      <c r="L109" s="680"/>
      <c r="M109" s="680"/>
      <c r="N109" s="680"/>
      <c r="O109" s="680"/>
      <c r="P109" s="680"/>
    </row>
    <row r="110" spans="1:16">
      <c r="A110" s="683" t="s">
        <v>576</v>
      </c>
      <c r="B110" s="690" t="s">
        <v>509</v>
      </c>
      <c r="C110" s="1078">
        <f>H16-C63-C131</f>
        <v>1097.1560000000002</v>
      </c>
      <c r="D110" s="1094">
        <f>I16-D63-D131</f>
        <v>0.13838</v>
      </c>
      <c r="E110" s="685"/>
      <c r="F110" s="685"/>
      <c r="G110" s="680"/>
      <c r="H110" s="697">
        <f>C110/C102</f>
        <v>0.15789147993653008</v>
      </c>
      <c r="I110" s="697" t="s">
        <v>249</v>
      </c>
      <c r="J110" s="697">
        <f>D110/D102</f>
        <v>0.15221480348912675</v>
      </c>
      <c r="K110" s="680"/>
      <c r="L110" s="680"/>
      <c r="M110" s="680"/>
      <c r="N110" s="680"/>
      <c r="O110" s="680"/>
      <c r="P110" s="680"/>
    </row>
    <row r="111" spans="1:16">
      <c r="A111" s="683" t="s">
        <v>577</v>
      </c>
      <c r="B111" s="690" t="s">
        <v>511</v>
      </c>
      <c r="C111" s="696">
        <f>C114+C113</f>
        <v>5019.2999999999993</v>
      </c>
      <c r="D111" s="1087">
        <f>D114+D113</f>
        <v>0.6431</v>
      </c>
      <c r="E111" s="685"/>
      <c r="F111" s="685"/>
      <c r="G111" s="715">
        <v>5772.3</v>
      </c>
      <c r="H111" s="716">
        <f>C111/D111</f>
        <v>7804.8515005442378</v>
      </c>
      <c r="I111" s="697" t="s">
        <v>450</v>
      </c>
      <c r="J111" s="695"/>
      <c r="K111" s="695"/>
      <c r="L111" s="680"/>
      <c r="M111" s="680"/>
      <c r="N111" s="680"/>
      <c r="O111" s="680"/>
      <c r="P111" s="680"/>
    </row>
    <row r="112" spans="1:16">
      <c r="A112" s="683"/>
      <c r="B112" s="690" t="s">
        <v>251</v>
      </c>
      <c r="C112" s="696"/>
      <c r="D112" s="1087"/>
      <c r="E112" s="685"/>
      <c r="F112" s="685"/>
      <c r="G112" s="695">
        <v>0.72200000000000009</v>
      </c>
      <c r="H112" s="679"/>
      <c r="I112" s="680"/>
      <c r="J112" s="680"/>
      <c r="K112" s="680"/>
      <c r="L112" s="680"/>
      <c r="M112" s="680"/>
      <c r="N112" s="680"/>
      <c r="O112" s="680"/>
      <c r="P112" s="680"/>
    </row>
    <row r="113" spans="1:16">
      <c r="A113" s="683" t="s">
        <v>578</v>
      </c>
      <c r="B113" s="690" t="s">
        <v>492</v>
      </c>
      <c r="C113" s="702">
        <f>'2012 Баланс  '!E17</f>
        <v>4659.2999999999993</v>
      </c>
      <c r="D113" s="1092">
        <f>'2012 Баланс  '!E18</f>
        <v>0.60309999999999997</v>
      </c>
      <c r="E113" s="685"/>
      <c r="F113" s="685"/>
      <c r="G113" s="680"/>
      <c r="H113" s="679"/>
      <c r="I113" s="680"/>
      <c r="J113" s="680"/>
      <c r="K113" s="680"/>
      <c r="L113" s="680"/>
      <c r="M113" s="680"/>
      <c r="N113" s="680"/>
      <c r="O113" s="680"/>
      <c r="P113" s="680"/>
    </row>
    <row r="114" spans="1:16">
      <c r="A114" s="683" t="s">
        <v>579</v>
      </c>
      <c r="B114" s="690" t="s">
        <v>494</v>
      </c>
      <c r="C114" s="702">
        <f>C116+C118</f>
        <v>360</v>
      </c>
      <c r="D114" s="1092">
        <f>D116+D118</f>
        <v>0.04</v>
      </c>
      <c r="E114" s="685"/>
      <c r="F114" s="685"/>
      <c r="G114" s="680"/>
      <c r="H114" s="679"/>
      <c r="I114" s="680"/>
      <c r="J114" s="680"/>
      <c r="K114" s="680"/>
      <c r="L114" s="680"/>
      <c r="M114" s="680"/>
      <c r="N114" s="680"/>
      <c r="O114" s="680"/>
      <c r="P114" s="680"/>
    </row>
    <row r="115" spans="1:16">
      <c r="A115" s="683"/>
      <c r="B115" s="690" t="s">
        <v>251</v>
      </c>
      <c r="C115" s="696"/>
      <c r="D115" s="1087"/>
      <c r="E115" s="685"/>
      <c r="F115" s="685"/>
      <c r="G115" s="680"/>
      <c r="H115" s="723"/>
      <c r="I115" s="680"/>
      <c r="J115" s="680"/>
      <c r="K115" s="680"/>
      <c r="L115" s="680"/>
      <c r="M115" s="680"/>
      <c r="N115" s="680"/>
      <c r="O115" s="680"/>
      <c r="P115" s="680"/>
    </row>
    <row r="116" spans="1:16">
      <c r="A116" s="683" t="s">
        <v>750</v>
      </c>
      <c r="B116" s="703" t="s">
        <v>447</v>
      </c>
      <c r="C116" s="707">
        <f>'2012 Баланс  '!E30</f>
        <v>360</v>
      </c>
      <c r="D116" s="1090">
        <f>'2012 Баланс  '!E31</f>
        <v>0.04</v>
      </c>
      <c r="E116" s="724"/>
      <c r="F116" s="724"/>
      <c r="G116" s="680"/>
      <c r="H116" s="679"/>
      <c r="I116" s="680"/>
      <c r="J116" s="680"/>
      <c r="K116" s="680"/>
      <c r="L116" s="680"/>
      <c r="M116" s="680"/>
      <c r="N116" s="680"/>
      <c r="O116" s="680"/>
      <c r="P116" s="680"/>
    </row>
    <row r="117" spans="1:16" ht="26.4">
      <c r="A117" s="699" t="s">
        <v>751</v>
      </c>
      <c r="B117" s="690" t="s">
        <v>580</v>
      </c>
      <c r="C117" s="696"/>
      <c r="D117" s="1087"/>
      <c r="E117" s="685"/>
      <c r="F117" s="685"/>
      <c r="G117" s="680"/>
      <c r="H117" s="679"/>
      <c r="I117" s="680"/>
      <c r="J117" s="680"/>
      <c r="K117" s="680"/>
      <c r="L117" s="680"/>
      <c r="M117" s="680"/>
      <c r="N117" s="680"/>
      <c r="O117" s="680"/>
      <c r="P117" s="680"/>
    </row>
    <row r="118" spans="1:16">
      <c r="A118" s="683" t="s">
        <v>581</v>
      </c>
      <c r="B118" s="690" t="s">
        <v>507</v>
      </c>
      <c r="C118" s="696"/>
      <c r="D118" s="1087"/>
      <c r="E118" s="685"/>
      <c r="F118" s="685"/>
      <c r="G118" s="680"/>
      <c r="H118" s="725"/>
      <c r="I118" s="680"/>
      <c r="J118" s="680"/>
      <c r="K118" s="680"/>
      <c r="L118" s="680"/>
      <c r="M118" s="680"/>
      <c r="N118" s="680"/>
      <c r="O118" s="680"/>
      <c r="P118" s="680"/>
    </row>
    <row r="119" spans="1:16" ht="26.4">
      <c r="A119" s="699" t="s">
        <v>582</v>
      </c>
      <c r="B119" s="690" t="s">
        <v>583</v>
      </c>
      <c r="C119" s="696"/>
      <c r="D119" s="1087"/>
      <c r="E119" s="685"/>
      <c r="F119" s="685"/>
      <c r="G119" s="680"/>
      <c r="H119" s="679"/>
      <c r="I119" s="680"/>
      <c r="J119" s="680"/>
      <c r="K119" s="680"/>
      <c r="L119" s="680"/>
      <c r="M119" s="680"/>
      <c r="N119" s="680"/>
      <c r="O119" s="680"/>
      <c r="P119" s="680"/>
    </row>
    <row r="120" spans="1:16">
      <c r="A120" s="683"/>
      <c r="B120" s="690" t="s">
        <v>96</v>
      </c>
      <c r="C120" s="696"/>
      <c r="D120" s="1087"/>
      <c r="E120" s="685"/>
      <c r="F120" s="685"/>
      <c r="G120" s="680"/>
      <c r="H120" s="679"/>
      <c r="I120" s="680"/>
      <c r="J120" s="680"/>
      <c r="K120" s="680"/>
      <c r="L120" s="680"/>
      <c r="M120" s="680"/>
      <c r="N120" s="680"/>
      <c r="O120" s="680"/>
      <c r="P120" s="680"/>
    </row>
    <row r="121" spans="1:16">
      <c r="A121" s="683" t="s">
        <v>584</v>
      </c>
      <c r="B121" s="690" t="s">
        <v>585</v>
      </c>
      <c r="C121" s="696">
        <f>C122</f>
        <v>832.34199999999998</v>
      </c>
      <c r="D121" s="1087">
        <f>D122</f>
        <v>0.12762999999999999</v>
      </c>
      <c r="E121" s="685"/>
      <c r="F121" s="685" t="s">
        <v>744</v>
      </c>
      <c r="G121" s="680"/>
      <c r="H121" s="679"/>
      <c r="I121" s="680"/>
      <c r="J121" s="680"/>
      <c r="K121" s="680"/>
      <c r="L121" s="680"/>
      <c r="M121" s="680"/>
      <c r="N121" s="680"/>
      <c r="O121" s="680"/>
      <c r="P121" s="680"/>
    </row>
    <row r="122" spans="1:16">
      <c r="A122" s="683" t="s">
        <v>586</v>
      </c>
      <c r="B122" s="713" t="s">
        <v>529</v>
      </c>
      <c r="C122" s="696">
        <f>C123</f>
        <v>832.34199999999998</v>
      </c>
      <c r="D122" s="1087">
        <f>D123</f>
        <v>0.12762999999999999</v>
      </c>
      <c r="E122" s="685"/>
      <c r="F122" s="685" t="s">
        <v>744</v>
      </c>
      <c r="G122" s="680"/>
      <c r="H122" s="679"/>
      <c r="I122" s="680"/>
      <c r="J122" s="695"/>
      <c r="K122" s="695"/>
      <c r="L122" s="680"/>
      <c r="M122" s="680"/>
      <c r="N122" s="680"/>
      <c r="O122" s="680"/>
      <c r="P122" s="680"/>
    </row>
    <row r="123" spans="1:16">
      <c r="A123" s="683" t="s">
        <v>587</v>
      </c>
      <c r="B123" s="690" t="s">
        <v>588</v>
      </c>
      <c r="C123" s="696">
        <f>C132+C131</f>
        <v>832.34199999999998</v>
      </c>
      <c r="D123" s="1087">
        <f>D132+D131</f>
        <v>0.12762999999999999</v>
      </c>
      <c r="E123" s="685"/>
      <c r="F123" s="685"/>
      <c r="G123" s="680" t="s">
        <v>280</v>
      </c>
      <c r="H123" s="1084">
        <f>D102-D110-D111</f>
        <v>0.12762999999999991</v>
      </c>
      <c r="I123" s="680"/>
      <c r="J123" s="695"/>
      <c r="K123" s="695"/>
      <c r="L123" s="680"/>
      <c r="M123" s="680"/>
      <c r="N123" s="680"/>
      <c r="O123" s="680"/>
      <c r="P123" s="680"/>
    </row>
    <row r="124" spans="1:16">
      <c r="A124" s="683"/>
      <c r="B124" s="690" t="s">
        <v>481</v>
      </c>
      <c r="C124" s="696"/>
      <c r="D124" s="1087"/>
      <c r="E124" s="685"/>
      <c r="F124" s="685"/>
      <c r="G124" s="680"/>
      <c r="H124" s="679"/>
      <c r="I124" s="680"/>
      <c r="J124" s="680"/>
      <c r="K124" s="680"/>
      <c r="L124" s="680"/>
      <c r="M124" s="680"/>
      <c r="N124" s="680"/>
      <c r="O124" s="680"/>
      <c r="P124" s="680"/>
    </row>
    <row r="125" spans="1:16">
      <c r="A125" s="683" t="s">
        <v>589</v>
      </c>
      <c r="B125" s="690" t="s">
        <v>502</v>
      </c>
      <c r="C125" s="696"/>
      <c r="D125" s="1087"/>
      <c r="E125" s="685"/>
      <c r="F125" s="685"/>
      <c r="G125" s="680"/>
      <c r="H125" s="679"/>
      <c r="I125" s="680"/>
      <c r="J125" s="680"/>
      <c r="K125" s="680"/>
      <c r="L125" s="680"/>
      <c r="M125" s="680"/>
      <c r="N125" s="680"/>
      <c r="O125" s="680"/>
      <c r="P125" s="680"/>
    </row>
    <row r="126" spans="1:16">
      <c r="A126" s="683" t="s">
        <v>590</v>
      </c>
      <c r="B126" s="690" t="s">
        <v>484</v>
      </c>
      <c r="C126" s="696"/>
      <c r="D126" s="1087"/>
      <c r="E126" s="685"/>
      <c r="F126" s="685"/>
      <c r="G126" s="680"/>
      <c r="H126" s="679"/>
      <c r="I126" s="680"/>
      <c r="J126" s="680"/>
      <c r="K126" s="680"/>
      <c r="L126" s="680"/>
      <c r="M126" s="680"/>
      <c r="N126" s="680"/>
      <c r="O126" s="680"/>
      <c r="P126" s="680"/>
    </row>
    <row r="127" spans="1:16">
      <c r="A127" s="683"/>
      <c r="B127" s="690" t="s">
        <v>481</v>
      </c>
      <c r="C127" s="696"/>
      <c r="D127" s="1087"/>
      <c r="E127" s="685"/>
      <c r="F127" s="685"/>
      <c r="G127" s="680"/>
      <c r="H127" s="679"/>
      <c r="I127" s="680"/>
      <c r="J127" s="680"/>
      <c r="K127" s="680"/>
      <c r="L127" s="680"/>
      <c r="M127" s="680"/>
      <c r="N127" s="680"/>
      <c r="O127" s="680"/>
      <c r="P127" s="680"/>
    </row>
    <row r="128" spans="1:16">
      <c r="A128" s="683" t="s">
        <v>591</v>
      </c>
      <c r="B128" s="690" t="s">
        <v>505</v>
      </c>
      <c r="C128" s="696"/>
      <c r="D128" s="1087"/>
      <c r="E128" s="685"/>
      <c r="F128" s="685"/>
      <c r="G128" s="680"/>
      <c r="H128" s="679"/>
      <c r="I128" s="680"/>
      <c r="J128" s="680"/>
      <c r="K128" s="680"/>
      <c r="L128" s="680"/>
      <c r="M128" s="680"/>
      <c r="N128" s="680"/>
      <c r="O128" s="680"/>
      <c r="P128" s="680"/>
    </row>
    <row r="129" spans="1:16">
      <c r="A129" s="683" t="s">
        <v>592</v>
      </c>
      <c r="B129" s="690" t="s">
        <v>507</v>
      </c>
      <c r="C129" s="696"/>
      <c r="D129" s="1087"/>
      <c r="E129" s="685"/>
      <c r="F129" s="685"/>
      <c r="G129" s="680"/>
      <c r="H129" s="679"/>
      <c r="I129" s="680"/>
      <c r="J129" s="680"/>
      <c r="K129" s="680"/>
      <c r="L129" s="680"/>
      <c r="M129" s="680"/>
      <c r="N129" s="680"/>
      <c r="O129" s="680"/>
      <c r="P129" s="680"/>
    </row>
    <row r="130" spans="1:16">
      <c r="A130" s="683"/>
      <c r="B130" s="690" t="s">
        <v>96</v>
      </c>
      <c r="C130" s="696"/>
      <c r="D130" s="1087"/>
      <c r="E130" s="685"/>
      <c r="F130" s="685"/>
      <c r="G130" s="680"/>
      <c r="H130" s="679"/>
      <c r="I130" s="680"/>
      <c r="J130" s="680"/>
      <c r="K130" s="680"/>
      <c r="L130" s="680"/>
      <c r="M130" s="680"/>
      <c r="N130" s="680"/>
      <c r="O130" s="680"/>
      <c r="P130" s="680"/>
    </row>
    <row r="131" spans="1:16">
      <c r="A131" s="683" t="s">
        <v>593</v>
      </c>
      <c r="B131" s="690" t="s">
        <v>509</v>
      </c>
      <c r="C131" s="702">
        <f>ROUND((C132/(1-7/100)-C132),3)</f>
        <v>58.264000000000003</v>
      </c>
      <c r="D131" s="1092">
        <f>ROUND((D132/(1-7/100)-D132),5)</f>
        <v>8.9300000000000004E-3</v>
      </c>
      <c r="E131" s="685"/>
      <c r="F131" s="685"/>
      <c r="G131" s="680"/>
      <c r="H131" s="697">
        <f>C131/C123</f>
        <v>7.000007208575322E-2</v>
      </c>
      <c r="I131" s="697" t="s">
        <v>249</v>
      </c>
      <c r="J131" s="697">
        <f>D131/D123</f>
        <v>6.9967875891248144E-2</v>
      </c>
      <c r="K131" s="680"/>
      <c r="L131" s="680"/>
      <c r="M131" s="680"/>
      <c r="N131" s="680"/>
      <c r="O131" s="680"/>
      <c r="P131" s="680"/>
    </row>
    <row r="132" spans="1:16">
      <c r="A132" s="683" t="s">
        <v>594</v>
      </c>
      <c r="B132" s="690" t="s">
        <v>511</v>
      </c>
      <c r="C132" s="696">
        <f>C134+C135</f>
        <v>774.07799999999997</v>
      </c>
      <c r="D132" s="1087">
        <f>D134+D135</f>
        <v>0.1187</v>
      </c>
      <c r="E132" s="685"/>
      <c r="F132" s="685"/>
      <c r="G132" s="715">
        <v>578.70999999999947</v>
      </c>
      <c r="H132" s="716">
        <f>C132/D132</f>
        <v>6521.2973883740524</v>
      </c>
      <c r="I132" s="697" t="s">
        <v>450</v>
      </c>
      <c r="J132" s="680"/>
      <c r="K132" s="680"/>
      <c r="L132" s="680"/>
      <c r="M132" s="680"/>
      <c r="N132" s="680"/>
      <c r="O132" s="680"/>
      <c r="P132" s="680"/>
    </row>
    <row r="133" spans="1:16">
      <c r="A133" s="683"/>
      <c r="B133" s="690" t="s">
        <v>251</v>
      </c>
      <c r="C133" s="696"/>
      <c r="D133" s="1087"/>
      <c r="E133" s="685"/>
      <c r="F133" s="685"/>
      <c r="G133" s="695">
        <v>8.5313512630115815E-2</v>
      </c>
      <c r="H133" s="679"/>
      <c r="I133" s="680"/>
      <c r="J133" s="680"/>
      <c r="K133" s="680"/>
      <c r="L133" s="680"/>
      <c r="M133" s="680"/>
      <c r="N133" s="680"/>
      <c r="O133" s="680"/>
      <c r="P133" s="680"/>
    </row>
    <row r="134" spans="1:16">
      <c r="A134" s="683" t="s">
        <v>491</v>
      </c>
      <c r="B134" s="690" t="s">
        <v>492</v>
      </c>
      <c r="C134" s="702">
        <f>'2012 Баланс  '!F17</f>
        <v>242.52</v>
      </c>
      <c r="D134" s="1092">
        <f>'2012 Баланс  '!F18</f>
        <v>4.4699999999999997E-2</v>
      </c>
      <c r="E134" s="685"/>
      <c r="F134" s="685"/>
      <c r="G134" s="680"/>
      <c r="H134" s="679"/>
      <c r="I134" s="680"/>
      <c r="J134" s="680"/>
      <c r="K134" s="680"/>
      <c r="L134" s="680"/>
      <c r="M134" s="680"/>
      <c r="N134" s="680"/>
      <c r="O134" s="680"/>
      <c r="P134" s="680"/>
    </row>
    <row r="135" spans="1:16">
      <c r="A135" s="683" t="s">
        <v>493</v>
      </c>
      <c r="B135" s="690" t="s">
        <v>494</v>
      </c>
      <c r="C135" s="685">
        <f>SUM(C137+C139)</f>
        <v>531.55799999999999</v>
      </c>
      <c r="D135" s="1087">
        <f>SUM(D137+D139)</f>
        <v>7.3999999999999996E-2</v>
      </c>
      <c r="E135" s="685"/>
      <c r="F135" s="685"/>
      <c r="G135" s="680"/>
      <c r="H135" s="679"/>
      <c r="I135" s="680"/>
      <c r="J135" s="680"/>
      <c r="K135" s="680"/>
      <c r="L135" s="680"/>
      <c r="M135" s="680"/>
      <c r="N135" s="680"/>
      <c r="O135" s="680"/>
      <c r="P135" s="680"/>
    </row>
    <row r="136" spans="1:16">
      <c r="A136" s="683"/>
      <c r="B136" s="690" t="s">
        <v>251</v>
      </c>
      <c r="C136" s="685"/>
      <c r="D136" s="1087"/>
      <c r="E136" s="685"/>
      <c r="F136" s="685"/>
      <c r="G136" s="680"/>
      <c r="H136" s="679"/>
      <c r="I136" s="680"/>
      <c r="J136" s="680"/>
      <c r="K136" s="680"/>
      <c r="L136" s="680"/>
      <c r="M136" s="680"/>
      <c r="N136" s="680"/>
      <c r="O136" s="680"/>
      <c r="P136" s="680"/>
    </row>
    <row r="137" spans="1:16">
      <c r="A137" s="683" t="s">
        <v>595</v>
      </c>
      <c r="B137" s="703" t="s">
        <v>752</v>
      </c>
      <c r="C137" s="724">
        <f>'2012 Баланс  '!F30</f>
        <v>531.55799999999999</v>
      </c>
      <c r="D137" s="1090">
        <f>'2012 Баланс  '!F31</f>
        <v>7.3999999999999996E-2</v>
      </c>
      <c r="E137" s="724"/>
      <c r="F137" s="724"/>
      <c r="H137" s="716">
        <f>C137/D137</f>
        <v>7183.2162162162167</v>
      </c>
    </row>
    <row r="138" spans="1:16" ht="26.4">
      <c r="A138" s="699" t="s">
        <v>596</v>
      </c>
      <c r="B138" s="690" t="s">
        <v>597</v>
      </c>
      <c r="C138" s="685"/>
      <c r="D138" s="1087"/>
      <c r="E138" s="685"/>
      <c r="F138" s="685"/>
    </row>
    <row r="139" spans="1:16">
      <c r="A139" s="683" t="s">
        <v>598</v>
      </c>
      <c r="B139" s="690" t="s">
        <v>507</v>
      </c>
      <c r="C139" s="685"/>
      <c r="D139" s="1087"/>
      <c r="E139" s="685"/>
      <c r="F139" s="685"/>
    </row>
    <row r="140" spans="1:16" ht="26.4">
      <c r="A140" s="699" t="s">
        <v>599</v>
      </c>
      <c r="B140" s="690" t="s">
        <v>600</v>
      </c>
      <c r="C140" s="685"/>
      <c r="D140" s="1087"/>
      <c r="E140" s="685"/>
      <c r="F140" s="685"/>
    </row>
    <row r="141" spans="1:16">
      <c r="A141" s="683"/>
      <c r="B141" s="690" t="s">
        <v>96</v>
      </c>
      <c r="C141" s="685"/>
      <c r="D141" s="1087"/>
      <c r="E141" s="685"/>
      <c r="F141" s="685"/>
    </row>
    <row r="142" spans="1:16" ht="24" customHeight="1">
      <c r="A142" s="666"/>
      <c r="B142" s="666"/>
      <c r="C142" s="662"/>
      <c r="D142" s="1085"/>
      <c r="E142" s="662"/>
      <c r="F142" s="662"/>
    </row>
    <row r="143" spans="1:16" ht="23.25" customHeight="1">
      <c r="A143" s="660" t="s">
        <v>731</v>
      </c>
      <c r="B143" s="661"/>
      <c r="C143" s="662"/>
    </row>
    <row r="144" spans="1:16" ht="15" customHeight="1">
      <c r="A144" s="1134" t="s">
        <v>732</v>
      </c>
      <c r="B144" s="666"/>
      <c r="C144" s="662"/>
      <c r="D144" s="2909" t="s">
        <v>733</v>
      </c>
      <c r="E144" s="2909"/>
      <c r="F144" s="2909"/>
    </row>
    <row r="145" spans="1:6" ht="15" customHeight="1">
      <c r="A145" s="661"/>
      <c r="B145" s="666"/>
      <c r="C145" s="662"/>
      <c r="D145" s="1085"/>
      <c r="E145" s="662"/>
      <c r="F145" s="662"/>
    </row>
    <row r="146" spans="1:6">
      <c r="A146" s="666" t="s">
        <v>234</v>
      </c>
      <c r="B146" s="666"/>
      <c r="C146" s="662"/>
      <c r="D146" s="1085"/>
      <c r="E146" s="662"/>
      <c r="F146" s="662"/>
    </row>
    <row r="147" spans="1:6" ht="28.5" customHeight="1">
      <c r="A147" s="726" t="s">
        <v>753</v>
      </c>
      <c r="B147" s="666"/>
      <c r="C147" s="662"/>
      <c r="D147" s="1085"/>
      <c r="E147" s="662"/>
      <c r="F147" s="662"/>
    </row>
    <row r="148" spans="1:6" ht="11.1" customHeight="1">
      <c r="A148" s="726"/>
      <c r="B148" s="666"/>
      <c r="C148" s="662"/>
      <c r="D148" s="1085"/>
      <c r="E148" s="662"/>
      <c r="F148" s="662"/>
    </row>
    <row r="149" spans="1:6" ht="21" customHeight="1">
      <c r="A149" s="726" t="s">
        <v>754</v>
      </c>
      <c r="B149" s="666"/>
      <c r="C149" s="662"/>
      <c r="D149" s="1085"/>
      <c r="E149" s="662"/>
      <c r="F149" s="662"/>
    </row>
    <row r="150" spans="1:6" ht="11.1" customHeight="1">
      <c r="A150" s="726"/>
      <c r="B150" s="666"/>
      <c r="C150" s="662"/>
      <c r="D150" s="1085"/>
      <c r="E150" s="662"/>
      <c r="F150" s="662"/>
    </row>
    <row r="151" spans="1:6" ht="20.25" customHeight="1">
      <c r="A151" s="726" t="s">
        <v>755</v>
      </c>
      <c r="B151" s="666"/>
      <c r="C151" s="662"/>
      <c r="D151" s="1085"/>
      <c r="E151" s="662"/>
      <c r="F151" s="662"/>
    </row>
    <row r="152" spans="1:6" ht="15" customHeight="1">
      <c r="A152" s="726" t="s">
        <v>981</v>
      </c>
      <c r="B152" s="666"/>
      <c r="C152" s="662"/>
      <c r="D152" s="1085"/>
      <c r="E152" s="662"/>
      <c r="F152" s="662"/>
    </row>
    <row r="153" spans="1:6" ht="11.1" customHeight="1">
      <c r="A153" s="726"/>
      <c r="B153" s="666"/>
      <c r="C153" s="662"/>
      <c r="D153" s="1085"/>
      <c r="E153" s="662"/>
      <c r="F153" s="662"/>
    </row>
    <row r="154" spans="1:6" ht="27.75" customHeight="1">
      <c r="A154" s="726" t="s">
        <v>756</v>
      </c>
      <c r="B154" s="666"/>
      <c r="C154" s="662"/>
      <c r="D154" s="1085"/>
      <c r="E154" s="662"/>
      <c r="F154" s="662"/>
    </row>
    <row r="155" spans="1:6" ht="11.1" customHeight="1">
      <c r="A155" s="726"/>
      <c r="B155" s="666"/>
      <c r="C155" s="662"/>
      <c r="D155" s="1085"/>
      <c r="E155" s="662"/>
      <c r="F155" s="662"/>
    </row>
    <row r="156" spans="1:6" ht="21" customHeight="1">
      <c r="A156" s="726" t="s">
        <v>1105</v>
      </c>
      <c r="B156" s="666"/>
      <c r="C156" s="662"/>
      <c r="D156" s="1085"/>
      <c r="E156" s="662"/>
      <c r="F156" s="662"/>
    </row>
    <row r="157" spans="1:6">
      <c r="A157" s="666"/>
      <c r="B157" s="666"/>
      <c r="C157" s="662"/>
      <c r="D157" s="1085"/>
      <c r="E157" s="662"/>
      <c r="F157" s="662"/>
    </row>
    <row r="158" spans="1:6" ht="24" customHeight="1">
      <c r="A158" s="726" t="s">
        <v>757</v>
      </c>
      <c r="B158" s="666"/>
      <c r="C158" s="662"/>
      <c r="D158" s="1085"/>
      <c r="E158" s="662"/>
      <c r="F158" s="662"/>
    </row>
    <row r="159" spans="1:6">
      <c r="B159" s="666"/>
      <c r="C159" s="662"/>
      <c r="D159" s="1085"/>
      <c r="E159" s="662"/>
      <c r="F159" s="662"/>
    </row>
    <row r="160" spans="1:6">
      <c r="A160" s="666"/>
      <c r="B160" s="666"/>
      <c r="C160" s="662"/>
      <c r="D160" s="1085"/>
      <c r="E160" s="662"/>
      <c r="F160" s="662"/>
    </row>
    <row r="161" spans="1:6">
      <c r="A161" s="666"/>
      <c r="B161" s="666"/>
      <c r="C161" s="662"/>
      <c r="D161" s="1085"/>
      <c r="E161" s="662"/>
      <c r="F161" s="662"/>
    </row>
    <row r="162" spans="1:6">
      <c r="A162" s="666"/>
      <c r="B162" s="666"/>
      <c r="C162" s="662"/>
      <c r="D162" s="1085"/>
      <c r="E162" s="662"/>
      <c r="F162" s="662"/>
    </row>
    <row r="163" spans="1:6">
      <c r="A163" s="666"/>
      <c r="B163" s="666"/>
      <c r="C163" s="662"/>
      <c r="D163" s="1085"/>
      <c r="E163" s="662"/>
      <c r="F163" s="662"/>
    </row>
    <row r="164" spans="1:6">
      <c r="A164" s="666"/>
      <c r="B164" s="666"/>
      <c r="C164" s="662"/>
      <c r="D164" s="1085"/>
      <c r="E164" s="662"/>
      <c r="F164" s="662"/>
    </row>
    <row r="165" spans="1:6">
      <c r="A165" s="666"/>
      <c r="B165" s="666"/>
      <c r="C165" s="662"/>
      <c r="D165" s="1085"/>
      <c r="E165" s="662"/>
      <c r="F165" s="662"/>
    </row>
    <row r="166" spans="1:6">
      <c r="A166" s="666"/>
      <c r="B166" s="666"/>
      <c r="C166" s="662"/>
      <c r="D166" s="1085"/>
      <c r="E166" s="662"/>
      <c r="F166" s="662"/>
    </row>
    <row r="167" spans="1:6">
      <c r="A167" s="666"/>
      <c r="B167" s="666"/>
      <c r="C167" s="662"/>
      <c r="D167" s="1085"/>
      <c r="E167" s="662"/>
      <c r="F167" s="662"/>
    </row>
    <row r="168" spans="1:6">
      <c r="A168" s="666"/>
      <c r="B168" s="666"/>
      <c r="C168" s="662"/>
      <c r="D168" s="1085"/>
      <c r="E168" s="662"/>
      <c r="F168" s="662"/>
    </row>
    <row r="169" spans="1:6">
      <c r="A169" s="666"/>
      <c r="B169" s="666"/>
      <c r="C169" s="662"/>
      <c r="D169" s="1085"/>
      <c r="E169" s="662"/>
      <c r="F169" s="662"/>
    </row>
    <row r="170" spans="1:6">
      <c r="A170" s="666"/>
      <c r="B170" s="666"/>
      <c r="C170" s="662"/>
      <c r="D170" s="1085"/>
      <c r="E170" s="662"/>
      <c r="F170" s="662"/>
    </row>
    <row r="171" spans="1:6">
      <c r="C171" s="662"/>
      <c r="D171" s="1085"/>
      <c r="E171" s="662"/>
      <c r="F171" s="662"/>
    </row>
    <row r="172" spans="1:6">
      <c r="C172" s="662"/>
      <c r="D172" s="1085"/>
      <c r="E172" s="662"/>
      <c r="F172" s="662"/>
    </row>
    <row r="173" spans="1:6">
      <c r="C173" s="662"/>
      <c r="D173" s="1085"/>
      <c r="E173" s="662"/>
      <c r="F173" s="662"/>
    </row>
    <row r="174" spans="1:6">
      <c r="C174" s="662"/>
      <c r="D174" s="1085"/>
      <c r="E174" s="662"/>
      <c r="F174" s="662"/>
    </row>
    <row r="175" spans="1:6">
      <c r="C175" s="662"/>
      <c r="D175" s="1085"/>
      <c r="E175" s="662"/>
      <c r="F175" s="662"/>
    </row>
    <row r="176" spans="1:6">
      <c r="C176" s="662"/>
      <c r="D176" s="1085"/>
      <c r="E176" s="662"/>
      <c r="F176" s="662"/>
    </row>
    <row r="177" spans="3:6">
      <c r="C177" s="662"/>
      <c r="D177" s="1085"/>
      <c r="E177" s="662"/>
      <c r="F177" s="662"/>
    </row>
    <row r="178" spans="3:6">
      <c r="C178" s="662"/>
      <c r="D178" s="1085"/>
      <c r="E178" s="662"/>
      <c r="F178" s="662"/>
    </row>
    <row r="179" spans="3:6">
      <c r="C179" s="662"/>
      <c r="D179" s="1085"/>
      <c r="E179" s="662"/>
      <c r="F179" s="662"/>
    </row>
    <row r="180" spans="3:6">
      <c r="C180" s="662"/>
      <c r="D180" s="1085"/>
      <c r="E180" s="662"/>
      <c r="F180" s="662"/>
    </row>
    <row r="181" spans="3:6">
      <c r="C181" s="662"/>
      <c r="D181" s="1085"/>
      <c r="E181" s="662"/>
      <c r="F181" s="662"/>
    </row>
    <row r="182" spans="3:6">
      <c r="C182" s="662"/>
      <c r="D182" s="1085"/>
      <c r="E182" s="662"/>
      <c r="F182" s="662"/>
    </row>
    <row r="183" spans="3:6">
      <c r="C183" s="662"/>
      <c r="D183" s="1085"/>
      <c r="E183" s="662"/>
      <c r="F183" s="662"/>
    </row>
    <row r="184" spans="3:6">
      <c r="C184" s="662"/>
      <c r="D184" s="1085"/>
      <c r="E184" s="662"/>
      <c r="F184" s="662"/>
    </row>
    <row r="185" spans="3:6">
      <c r="C185" s="662"/>
      <c r="D185" s="1085"/>
      <c r="E185" s="662"/>
      <c r="F185" s="662"/>
    </row>
    <row r="186" spans="3:6">
      <c r="C186" s="662"/>
      <c r="D186" s="1085"/>
      <c r="E186" s="662"/>
      <c r="F186" s="662"/>
    </row>
    <row r="187" spans="3:6">
      <c r="C187" s="662"/>
      <c r="D187" s="1085"/>
      <c r="E187" s="662"/>
      <c r="F187" s="662"/>
    </row>
    <row r="188" spans="3:6">
      <c r="C188" s="662"/>
      <c r="D188" s="1085"/>
      <c r="E188" s="662"/>
      <c r="F188" s="662"/>
    </row>
    <row r="189" spans="3:6">
      <c r="C189" s="662"/>
      <c r="D189" s="1085"/>
      <c r="E189" s="662"/>
      <c r="F189" s="662"/>
    </row>
    <row r="190" spans="3:6">
      <c r="C190" s="662"/>
      <c r="D190" s="1085"/>
      <c r="E190" s="662"/>
      <c r="F190" s="662"/>
    </row>
    <row r="191" spans="3:6">
      <c r="C191" s="662"/>
      <c r="D191" s="1085"/>
      <c r="E191" s="662"/>
      <c r="F191" s="662"/>
    </row>
    <row r="192" spans="3:6">
      <c r="C192" s="662"/>
      <c r="D192" s="1085"/>
      <c r="E192" s="662"/>
      <c r="F192" s="662"/>
    </row>
    <row r="193" spans="3:6">
      <c r="C193" s="662"/>
      <c r="D193" s="1085"/>
      <c r="E193" s="662"/>
      <c r="F193" s="662"/>
    </row>
    <row r="194" spans="3:6">
      <c r="C194" s="662"/>
      <c r="D194" s="1085"/>
      <c r="E194" s="662"/>
      <c r="F194" s="662"/>
    </row>
    <row r="195" spans="3:6">
      <c r="C195" s="662"/>
      <c r="D195" s="1085"/>
      <c r="E195" s="662"/>
      <c r="F195" s="662"/>
    </row>
    <row r="196" spans="3:6">
      <c r="C196" s="662"/>
      <c r="D196" s="1085"/>
      <c r="E196" s="662"/>
      <c r="F196" s="662"/>
    </row>
    <row r="197" spans="3:6">
      <c r="C197" s="662"/>
      <c r="D197" s="1085"/>
      <c r="E197" s="662"/>
      <c r="F197" s="662"/>
    </row>
    <row r="198" spans="3:6">
      <c r="C198" s="662"/>
      <c r="D198" s="1085"/>
      <c r="E198" s="662"/>
      <c r="F198" s="662"/>
    </row>
    <row r="199" spans="3:6">
      <c r="C199" s="662"/>
      <c r="D199" s="1085"/>
      <c r="E199" s="662"/>
      <c r="F199" s="662"/>
    </row>
    <row r="200" spans="3:6">
      <c r="C200" s="662"/>
      <c r="D200" s="1085"/>
      <c r="E200" s="662"/>
      <c r="F200" s="662"/>
    </row>
    <row r="201" spans="3:6">
      <c r="C201" s="662"/>
      <c r="D201" s="1085"/>
      <c r="E201" s="662"/>
      <c r="F201" s="662"/>
    </row>
    <row r="202" spans="3:6">
      <c r="C202" s="662"/>
      <c r="D202" s="1085"/>
      <c r="E202" s="662"/>
      <c r="F202" s="662"/>
    </row>
    <row r="203" spans="3:6">
      <c r="C203" s="662"/>
      <c r="D203" s="1085"/>
      <c r="E203" s="662"/>
      <c r="F203" s="662"/>
    </row>
    <row r="204" spans="3:6">
      <c r="C204" s="662"/>
      <c r="D204" s="1085"/>
      <c r="E204" s="662"/>
      <c r="F204" s="662"/>
    </row>
    <row r="205" spans="3:6">
      <c r="C205" s="662"/>
      <c r="D205" s="1085"/>
      <c r="E205" s="662"/>
      <c r="F205" s="662"/>
    </row>
    <row r="206" spans="3:6">
      <c r="C206" s="662"/>
      <c r="D206" s="1085"/>
      <c r="E206" s="662"/>
      <c r="F206" s="662"/>
    </row>
    <row r="207" spans="3:6">
      <c r="C207" s="662"/>
      <c r="D207" s="1085"/>
      <c r="E207" s="662"/>
      <c r="F207" s="662"/>
    </row>
    <row r="208" spans="3:6">
      <c r="C208" s="662"/>
      <c r="D208" s="1085"/>
      <c r="E208" s="662"/>
      <c r="F208" s="662"/>
    </row>
    <row r="209" spans="3:6">
      <c r="C209" s="662"/>
      <c r="D209" s="1085"/>
      <c r="E209" s="662"/>
      <c r="F209" s="662"/>
    </row>
    <row r="210" spans="3:6">
      <c r="C210" s="662"/>
      <c r="D210" s="1085"/>
      <c r="E210" s="662"/>
      <c r="F210" s="662"/>
    </row>
    <row r="211" spans="3:6">
      <c r="C211" s="662"/>
      <c r="D211" s="1085"/>
      <c r="E211" s="662"/>
      <c r="F211" s="662"/>
    </row>
    <row r="212" spans="3:6">
      <c r="C212" s="662"/>
      <c r="D212" s="1085"/>
      <c r="E212" s="662"/>
      <c r="F212" s="662"/>
    </row>
    <row r="213" spans="3:6">
      <c r="C213" s="662"/>
      <c r="D213" s="1085"/>
      <c r="E213" s="662"/>
      <c r="F213" s="662"/>
    </row>
    <row r="214" spans="3:6">
      <c r="C214" s="662"/>
      <c r="D214" s="1085"/>
      <c r="E214" s="662"/>
      <c r="F214" s="662"/>
    </row>
    <row r="215" spans="3:6">
      <c r="C215" s="662"/>
      <c r="D215" s="1085"/>
      <c r="E215" s="662"/>
      <c r="F215" s="662"/>
    </row>
    <row r="216" spans="3:6">
      <c r="C216" s="662"/>
      <c r="D216" s="1085"/>
      <c r="E216" s="662"/>
      <c r="F216" s="662"/>
    </row>
    <row r="217" spans="3:6">
      <c r="C217" s="662"/>
      <c r="D217" s="1085"/>
      <c r="E217" s="662"/>
      <c r="F217" s="662"/>
    </row>
    <row r="218" spans="3:6">
      <c r="C218" s="662"/>
      <c r="D218" s="1085"/>
      <c r="E218" s="662"/>
      <c r="F218" s="662"/>
    </row>
    <row r="219" spans="3:6">
      <c r="C219" s="662"/>
      <c r="D219" s="1085"/>
      <c r="E219" s="662"/>
      <c r="F219" s="662"/>
    </row>
    <row r="220" spans="3:6">
      <c r="C220" s="662"/>
      <c r="D220" s="1085"/>
      <c r="E220" s="662"/>
      <c r="F220" s="662"/>
    </row>
    <row r="221" spans="3:6">
      <c r="C221" s="662"/>
      <c r="D221" s="1085"/>
      <c r="E221" s="662"/>
      <c r="F221" s="662"/>
    </row>
    <row r="222" spans="3:6">
      <c r="C222" s="662"/>
      <c r="D222" s="1085"/>
      <c r="E222" s="662"/>
      <c r="F222" s="662"/>
    </row>
    <row r="223" spans="3:6">
      <c r="C223" s="662"/>
      <c r="D223" s="1085"/>
      <c r="E223" s="662"/>
      <c r="F223" s="662"/>
    </row>
    <row r="224" spans="3:6">
      <c r="C224" s="662"/>
      <c r="D224" s="1085"/>
      <c r="E224" s="662"/>
      <c r="F224" s="662"/>
    </row>
    <row r="225" spans="3:6">
      <c r="C225" s="662"/>
      <c r="D225" s="1085"/>
      <c r="E225" s="662"/>
      <c r="F225" s="662"/>
    </row>
    <row r="226" spans="3:6">
      <c r="C226" s="662"/>
      <c r="D226" s="1085"/>
      <c r="E226" s="662"/>
      <c r="F226" s="662"/>
    </row>
    <row r="227" spans="3:6">
      <c r="C227" s="662"/>
      <c r="D227" s="1085"/>
      <c r="E227" s="662"/>
      <c r="F227" s="662"/>
    </row>
    <row r="228" spans="3:6">
      <c r="C228" s="662"/>
      <c r="D228" s="1085"/>
      <c r="E228" s="662"/>
      <c r="F228" s="662"/>
    </row>
    <row r="229" spans="3:6">
      <c r="C229" s="662"/>
      <c r="D229" s="1085"/>
      <c r="E229" s="662"/>
      <c r="F229" s="662"/>
    </row>
    <row r="230" spans="3:6">
      <c r="C230" s="662"/>
      <c r="D230" s="1085"/>
      <c r="E230" s="662"/>
      <c r="F230" s="662"/>
    </row>
    <row r="231" spans="3:6">
      <c r="C231" s="662"/>
      <c r="D231" s="1085"/>
      <c r="E231" s="662"/>
      <c r="F231" s="662"/>
    </row>
    <row r="232" spans="3:6">
      <c r="C232" s="662"/>
      <c r="D232" s="1085"/>
      <c r="E232" s="662"/>
      <c r="F232" s="662"/>
    </row>
    <row r="233" spans="3:6">
      <c r="C233" s="662"/>
      <c r="D233" s="1085"/>
      <c r="E233" s="662"/>
      <c r="F233" s="662"/>
    </row>
    <row r="234" spans="3:6">
      <c r="C234" s="662"/>
      <c r="D234" s="1085"/>
      <c r="E234" s="662"/>
      <c r="F234" s="662"/>
    </row>
    <row r="235" spans="3:6">
      <c r="C235" s="662"/>
      <c r="D235" s="1085"/>
      <c r="E235" s="662"/>
      <c r="F235" s="662"/>
    </row>
    <row r="236" spans="3:6">
      <c r="C236" s="662"/>
      <c r="D236" s="1085"/>
      <c r="E236" s="662"/>
      <c r="F236" s="662"/>
    </row>
    <row r="237" spans="3:6">
      <c r="C237" s="662"/>
      <c r="D237" s="1085"/>
      <c r="E237" s="662"/>
      <c r="F237" s="662"/>
    </row>
    <row r="238" spans="3:6">
      <c r="C238" s="662"/>
      <c r="D238" s="1085"/>
      <c r="E238" s="662"/>
      <c r="F238" s="662"/>
    </row>
    <row r="239" spans="3:6">
      <c r="C239" s="662"/>
      <c r="D239" s="1085"/>
      <c r="E239" s="662"/>
      <c r="F239" s="662"/>
    </row>
    <row r="240" spans="3:6">
      <c r="C240" s="662"/>
      <c r="D240" s="1085"/>
      <c r="E240" s="662"/>
      <c r="F240" s="662"/>
    </row>
    <row r="241" spans="3:6">
      <c r="C241" s="662"/>
      <c r="D241" s="1085"/>
      <c r="E241" s="662"/>
      <c r="F241" s="662"/>
    </row>
    <row r="242" spans="3:6">
      <c r="C242" s="662"/>
      <c r="D242" s="1085"/>
      <c r="E242" s="662"/>
      <c r="F242" s="662"/>
    </row>
    <row r="243" spans="3:6">
      <c r="C243" s="662"/>
      <c r="D243" s="1085"/>
      <c r="E243" s="662"/>
      <c r="F243" s="662"/>
    </row>
    <row r="244" spans="3:6">
      <c r="C244" s="662"/>
      <c r="D244" s="1085"/>
      <c r="E244" s="662"/>
      <c r="F244" s="662"/>
    </row>
    <row r="245" spans="3:6">
      <c r="C245" s="662"/>
      <c r="D245" s="1085"/>
      <c r="E245" s="662"/>
      <c r="F245" s="662"/>
    </row>
    <row r="246" spans="3:6">
      <c r="C246" s="662"/>
      <c r="D246" s="1085"/>
      <c r="E246" s="662"/>
      <c r="F246" s="662"/>
    </row>
    <row r="247" spans="3:6">
      <c r="C247" s="662"/>
      <c r="D247" s="1085"/>
      <c r="E247" s="662"/>
      <c r="F247" s="662"/>
    </row>
    <row r="248" spans="3:6">
      <c r="C248" s="662"/>
      <c r="D248" s="1085"/>
      <c r="E248" s="662"/>
      <c r="F248" s="662"/>
    </row>
    <row r="249" spans="3:6">
      <c r="C249" s="662"/>
      <c r="D249" s="1085"/>
      <c r="E249" s="662"/>
      <c r="F249" s="662"/>
    </row>
    <row r="250" spans="3:6">
      <c r="C250" s="662"/>
      <c r="D250" s="1085"/>
      <c r="E250" s="662"/>
      <c r="F250" s="662"/>
    </row>
    <row r="251" spans="3:6">
      <c r="C251" s="662"/>
      <c r="D251" s="1085"/>
      <c r="E251" s="662"/>
      <c r="F251" s="662"/>
    </row>
    <row r="252" spans="3:6">
      <c r="C252" s="662"/>
      <c r="D252" s="1085"/>
      <c r="E252" s="662"/>
      <c r="F252" s="662"/>
    </row>
    <row r="253" spans="3:6">
      <c r="C253" s="662"/>
      <c r="D253" s="1085"/>
      <c r="E253" s="662"/>
      <c r="F253" s="662"/>
    </row>
    <row r="254" spans="3:6">
      <c r="C254" s="662"/>
      <c r="D254" s="1085"/>
      <c r="E254" s="662"/>
      <c r="F254" s="662"/>
    </row>
    <row r="255" spans="3:6">
      <c r="C255" s="662"/>
      <c r="D255" s="1085"/>
      <c r="E255" s="662"/>
      <c r="F255" s="662"/>
    </row>
    <row r="256" spans="3:6">
      <c r="C256" s="662"/>
      <c r="D256" s="1085"/>
      <c r="E256" s="662"/>
      <c r="F256" s="662"/>
    </row>
    <row r="257" spans="3:6">
      <c r="C257" s="662"/>
      <c r="D257" s="1085"/>
      <c r="E257" s="662"/>
      <c r="F257" s="662"/>
    </row>
    <row r="258" spans="3:6">
      <c r="C258" s="662"/>
      <c r="D258" s="1085"/>
      <c r="E258" s="662"/>
      <c r="F258" s="662"/>
    </row>
    <row r="259" spans="3:6">
      <c r="C259" s="662"/>
      <c r="D259" s="1085"/>
      <c r="E259" s="662"/>
      <c r="F259" s="662"/>
    </row>
    <row r="260" spans="3:6">
      <c r="C260" s="662"/>
      <c r="D260" s="1085"/>
      <c r="E260" s="662"/>
      <c r="F260" s="662"/>
    </row>
    <row r="261" spans="3:6">
      <c r="C261" s="662"/>
      <c r="D261" s="1085"/>
      <c r="E261" s="662"/>
      <c r="F261" s="662"/>
    </row>
    <row r="262" spans="3:6">
      <c r="C262" s="662"/>
      <c r="D262" s="1085"/>
      <c r="E262" s="662"/>
      <c r="F262" s="662"/>
    </row>
    <row r="263" spans="3:6">
      <c r="C263" s="662"/>
      <c r="D263" s="1085"/>
      <c r="E263" s="662"/>
      <c r="F263" s="662"/>
    </row>
    <row r="264" spans="3:6">
      <c r="C264" s="662"/>
      <c r="D264" s="1085"/>
      <c r="E264" s="662"/>
      <c r="F264" s="662"/>
    </row>
    <row r="265" spans="3:6">
      <c r="C265" s="662"/>
      <c r="D265" s="1085"/>
      <c r="E265" s="662"/>
      <c r="F265" s="662"/>
    </row>
    <row r="266" spans="3:6">
      <c r="C266" s="662"/>
      <c r="D266" s="1085"/>
      <c r="E266" s="662"/>
      <c r="F266" s="662"/>
    </row>
    <row r="267" spans="3:6">
      <c r="C267" s="662"/>
      <c r="D267" s="1085"/>
      <c r="E267" s="662"/>
      <c r="F267" s="662"/>
    </row>
    <row r="268" spans="3:6">
      <c r="C268" s="662"/>
      <c r="D268" s="1085"/>
      <c r="E268" s="662"/>
      <c r="F268" s="662"/>
    </row>
    <row r="269" spans="3:6">
      <c r="C269" s="662"/>
      <c r="D269" s="1085"/>
      <c r="E269" s="662"/>
      <c r="F269" s="662"/>
    </row>
    <row r="270" spans="3:6">
      <c r="C270" s="662"/>
      <c r="D270" s="1085"/>
      <c r="E270" s="662"/>
      <c r="F270" s="662"/>
    </row>
    <row r="271" spans="3:6">
      <c r="C271" s="662"/>
      <c r="D271" s="1085"/>
      <c r="E271" s="662"/>
      <c r="F271" s="662"/>
    </row>
    <row r="272" spans="3:6">
      <c r="C272" s="662"/>
      <c r="D272" s="1085"/>
      <c r="E272" s="662"/>
      <c r="F272" s="662"/>
    </row>
    <row r="273" spans="3:6">
      <c r="C273" s="662"/>
      <c r="D273" s="1085"/>
      <c r="E273" s="662"/>
      <c r="F273" s="662"/>
    </row>
    <row r="274" spans="3:6">
      <c r="C274" s="662"/>
      <c r="D274" s="1085"/>
      <c r="E274" s="662"/>
      <c r="F274" s="662"/>
    </row>
    <row r="275" spans="3:6">
      <c r="C275" s="662"/>
      <c r="D275" s="1085"/>
      <c r="E275" s="662"/>
      <c r="F275" s="662"/>
    </row>
    <row r="276" spans="3:6">
      <c r="C276" s="662"/>
      <c r="D276" s="1085"/>
      <c r="E276" s="662"/>
      <c r="F276" s="662"/>
    </row>
    <row r="277" spans="3:6">
      <c r="C277" s="662"/>
      <c r="D277" s="1085"/>
      <c r="E277" s="662"/>
      <c r="F277" s="662"/>
    </row>
  </sheetData>
  <mergeCells count="3">
    <mergeCell ref="A4:F4"/>
    <mergeCell ref="A5:F5"/>
    <mergeCell ref="D144:F144"/>
  </mergeCells>
  <printOptions horizontalCentered="1"/>
  <pageMargins left="0.78740157480314965" right="0.78740157480314965" top="0.39370078740157483" bottom="0.11811023622047245" header="0.51181102362204722" footer="3.937007874015748E-2"/>
  <pageSetup paperSize="9" scale="95" orientation="portrait" r:id="rId1"/>
  <headerFooter alignWithMargins="0">
    <oddFooter>&amp;R&amp;8&amp;P</oddFooter>
  </headerFooter>
  <rowBreaks count="2" manualBreakCount="2">
    <brk id="54" max="16383" man="1"/>
    <brk id="108" max="16383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96">
    <tabColor rgb="FFFF0000"/>
  </sheetPr>
  <dimension ref="A1:Q45"/>
  <sheetViews>
    <sheetView workbookViewId="0">
      <selection activeCell="K8" sqref="K8"/>
    </sheetView>
  </sheetViews>
  <sheetFormatPr defaultColWidth="9.109375" defaultRowHeight="13.2"/>
  <cols>
    <col min="1" max="1" width="13.33203125" style="6" customWidth="1"/>
    <col min="2" max="2" width="12.88671875" style="6" customWidth="1"/>
    <col min="3" max="3" width="12" style="6" customWidth="1"/>
    <col min="4" max="4" width="11.6640625" style="6" customWidth="1"/>
    <col min="5" max="5" width="11.44140625" style="6" customWidth="1"/>
    <col min="6" max="6" width="11.88671875" style="6" customWidth="1"/>
    <col min="7" max="7" width="12" style="6" customWidth="1"/>
    <col min="8" max="8" width="11.44140625" style="6" customWidth="1"/>
    <col min="9" max="9" width="16.6640625" style="6" customWidth="1"/>
    <col min="10" max="10" width="12.5546875" style="6" customWidth="1"/>
    <col min="11" max="11" width="14" style="6" customWidth="1"/>
    <col min="12" max="12" width="11.88671875" style="6" customWidth="1"/>
    <col min="13" max="13" width="10.109375" style="6" customWidth="1"/>
    <col min="14" max="14" width="12.5546875" style="6" customWidth="1"/>
    <col min="15" max="15" width="11.109375" style="6" customWidth="1"/>
    <col min="16" max="16384" width="9.109375" style="6"/>
  </cols>
  <sheetData>
    <row r="1" spans="1:17" ht="16.8">
      <c r="A1" s="582" t="s">
        <v>375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195"/>
      <c r="M1" s="214"/>
      <c r="N1" s="214"/>
      <c r="O1" s="214"/>
      <c r="P1" s="120"/>
      <c r="Q1" s="120"/>
    </row>
    <row r="2" spans="1:17" ht="16.8">
      <c r="A2" s="582" t="s">
        <v>702</v>
      </c>
      <c r="B2" s="58"/>
      <c r="C2" s="58"/>
      <c r="D2" s="58"/>
      <c r="E2" s="58"/>
      <c r="F2" s="58"/>
      <c r="G2" s="58"/>
      <c r="H2" s="58"/>
      <c r="I2" s="58"/>
      <c r="J2" s="58"/>
      <c r="L2" s="195"/>
      <c r="M2" s="120"/>
      <c r="N2" s="120"/>
      <c r="O2" s="120"/>
      <c r="P2" s="120"/>
      <c r="Q2" s="120"/>
    </row>
    <row r="3" spans="1:17">
      <c r="L3" s="195"/>
      <c r="M3" s="577"/>
      <c r="N3" s="577"/>
      <c r="O3" s="577"/>
      <c r="P3" s="120"/>
      <c r="Q3" s="120"/>
    </row>
    <row r="4" spans="1:17" ht="16.2" thickBot="1">
      <c r="B4" s="402" t="s">
        <v>703</v>
      </c>
      <c r="C4" s="120"/>
      <c r="D4" s="120"/>
      <c r="E4" s="390"/>
      <c r="F4" s="167"/>
      <c r="G4" s="120"/>
      <c r="H4" s="120"/>
      <c r="L4" s="195"/>
      <c r="M4" s="577"/>
      <c r="N4" s="577"/>
      <c r="O4" s="577"/>
      <c r="P4" s="120"/>
      <c r="Q4" s="120"/>
    </row>
    <row r="5" spans="1:17" ht="27.75" customHeight="1" thickTop="1">
      <c r="B5" s="3025" t="s">
        <v>337</v>
      </c>
      <c r="C5" s="3038" t="s">
        <v>338</v>
      </c>
      <c r="D5" s="23" t="s">
        <v>339</v>
      </c>
      <c r="E5" s="3025" t="s">
        <v>340</v>
      </c>
      <c r="G5" s="125"/>
      <c r="H5" s="384" t="s">
        <v>345</v>
      </c>
      <c r="I5" s="126"/>
      <c r="J5" s="126"/>
      <c r="K5" s="127"/>
      <c r="L5" s="195"/>
      <c r="M5" s="577"/>
      <c r="N5" s="577"/>
      <c r="O5" s="577"/>
      <c r="P5" s="120"/>
      <c r="Q5" s="120"/>
    </row>
    <row r="6" spans="1:17" ht="51.75" customHeight="1">
      <c r="B6" s="3037"/>
      <c r="C6" s="3039"/>
      <c r="D6" s="23" t="s">
        <v>341</v>
      </c>
      <c r="E6" s="3026"/>
      <c r="G6" s="130"/>
      <c r="H6" s="385" t="s">
        <v>346</v>
      </c>
      <c r="I6" s="128" t="s">
        <v>431</v>
      </c>
      <c r="J6" s="128" t="s">
        <v>432</v>
      </c>
      <c r="K6" s="393" t="s">
        <v>707</v>
      </c>
      <c r="L6" s="195"/>
      <c r="M6" s="577"/>
      <c r="N6" s="577"/>
      <c r="O6" s="577"/>
      <c r="P6" s="120"/>
      <c r="Q6" s="120"/>
    </row>
    <row r="7" spans="1:17" ht="16.8">
      <c r="B7" s="3037"/>
      <c r="C7" s="98" t="s">
        <v>342</v>
      </c>
      <c r="D7" s="98" t="s">
        <v>343</v>
      </c>
      <c r="E7" s="13"/>
      <c r="F7" s="124" t="s">
        <v>336</v>
      </c>
      <c r="G7" s="225" t="s">
        <v>347</v>
      </c>
      <c r="H7" s="386"/>
      <c r="I7" s="192" t="e">
        <f>#REF!</f>
        <v>#REF!</v>
      </c>
      <c r="J7" s="192">
        <f>'Баланс электроэнергии'!$H$21*1000</f>
        <v>-1.4432899320127035E-12</v>
      </c>
      <c r="K7" s="129" t="e">
        <f t="shared" ref="K7:K12" si="0">J7/$J$13</f>
        <v>#REF!</v>
      </c>
      <c r="L7" s="578"/>
      <c r="M7" s="120"/>
      <c r="N7" s="578"/>
      <c r="O7" s="579"/>
      <c r="P7" s="120"/>
      <c r="Q7" s="120"/>
    </row>
    <row r="8" spans="1:17" ht="12.75" customHeight="1">
      <c r="B8" s="3026"/>
      <c r="C8" s="13" t="s">
        <v>99</v>
      </c>
      <c r="D8" s="13" t="s">
        <v>344</v>
      </c>
      <c r="E8" s="13" t="s">
        <v>344</v>
      </c>
      <c r="F8" s="123"/>
      <c r="G8" s="3058" t="s">
        <v>436</v>
      </c>
      <c r="H8" s="386" t="s">
        <v>437</v>
      </c>
      <c r="I8" s="192" t="e">
        <f>J8+#REF!/#REF!*'С-Э и сет.расч.инд.межсет.2011'!J8</f>
        <v>#REF!</v>
      </c>
      <c r="J8" s="192" t="e">
        <f>#REF!-J12</f>
        <v>#REF!</v>
      </c>
      <c r="K8" s="129" t="e">
        <f t="shared" si="0"/>
        <v>#REF!</v>
      </c>
      <c r="L8" s="588" t="s">
        <v>705</v>
      </c>
      <c r="M8" s="588" t="s">
        <v>724</v>
      </c>
      <c r="N8" s="588" t="s">
        <v>158</v>
      </c>
      <c r="O8" s="120"/>
      <c r="P8" s="120"/>
      <c r="Q8" s="120"/>
    </row>
    <row r="9" spans="1:17">
      <c r="B9" s="13" t="s">
        <v>292</v>
      </c>
      <c r="C9" s="584">
        <v>390084.12</v>
      </c>
      <c r="D9" s="584">
        <v>163.41999999999999</v>
      </c>
      <c r="E9" s="584">
        <v>719.55</v>
      </c>
      <c r="F9" s="585">
        <f>(C9*12/(E9-D9))</f>
        <v>8417.113696437882</v>
      </c>
      <c r="G9" s="3058"/>
      <c r="H9" s="387" t="s">
        <v>438</v>
      </c>
      <c r="I9" s="192">
        <v>5977.41</v>
      </c>
      <c r="J9" s="192" t="e">
        <f>#REF!</f>
        <v>#REF!</v>
      </c>
      <c r="K9" s="129" t="e">
        <f t="shared" si="0"/>
        <v>#REF!</v>
      </c>
      <c r="L9" s="589" t="e">
        <f>#REF!</f>
        <v>#REF!</v>
      </c>
      <c r="M9" s="589" t="e">
        <f>#REF!</f>
        <v>#REF!</v>
      </c>
      <c r="N9" s="589" t="e">
        <f>SUM(L9:M9)</f>
        <v>#REF!</v>
      </c>
      <c r="O9" s="120"/>
      <c r="P9" s="120"/>
      <c r="Q9" s="120"/>
    </row>
    <row r="10" spans="1:17">
      <c r="B10" s="13" t="s">
        <v>276</v>
      </c>
      <c r="C10" s="224">
        <v>712574.24</v>
      </c>
      <c r="D10" s="224">
        <v>174.74</v>
      </c>
      <c r="E10" s="224">
        <v>1207.1199999999999</v>
      </c>
      <c r="F10" s="123">
        <f>(C10*12/(E10-D10))</f>
        <v>8282.6971463995815</v>
      </c>
      <c r="G10" s="3058"/>
      <c r="H10" s="386" t="s">
        <v>439</v>
      </c>
      <c r="I10" s="192">
        <v>321.49</v>
      </c>
      <c r="J10" s="192" t="e">
        <f>#REF!</f>
        <v>#REF!</v>
      </c>
      <c r="K10" s="129" t="e">
        <f t="shared" si="0"/>
        <v>#REF!</v>
      </c>
      <c r="L10" s="588" t="s">
        <v>706</v>
      </c>
      <c r="M10" s="588"/>
      <c r="N10" s="590"/>
      <c r="O10" s="120"/>
      <c r="P10" s="120"/>
      <c r="Q10" s="120"/>
    </row>
    <row r="11" spans="1:17">
      <c r="B11" s="23" t="s">
        <v>348</v>
      </c>
      <c r="C11" s="224">
        <v>1012075.01</v>
      </c>
      <c r="D11" s="224">
        <v>418.61</v>
      </c>
      <c r="E11" s="224">
        <v>1956.6</v>
      </c>
      <c r="F11" s="123">
        <f>(C11*12/(E11-D11))</f>
        <v>7896.6053875512862</v>
      </c>
      <c r="G11" s="3058"/>
      <c r="H11" s="387" t="s">
        <v>440</v>
      </c>
      <c r="I11" s="192" t="e">
        <f>J11+#REF!/#REF!*'С-Э и сет.расч.инд.межсет.2011'!J11</f>
        <v>#REF!</v>
      </c>
      <c r="J11" s="192" t="e">
        <f>#REF!+#REF!</f>
        <v>#REF!</v>
      </c>
      <c r="K11" s="129" t="e">
        <f t="shared" si="0"/>
        <v>#REF!</v>
      </c>
      <c r="L11" s="588" t="e">
        <f>L9/$N$9</f>
        <v>#REF!</v>
      </c>
      <c r="M11" s="588" t="e">
        <f>M9/$N$9</f>
        <v>#REF!</v>
      </c>
      <c r="N11" s="588" t="e">
        <f>SUM(L11:M11)</f>
        <v>#REF!</v>
      </c>
      <c r="O11" s="120"/>
      <c r="P11" s="120"/>
      <c r="Q11" s="120"/>
    </row>
    <row r="12" spans="1:17" ht="24" customHeight="1">
      <c r="B12" s="13" t="s">
        <v>280</v>
      </c>
      <c r="C12" s="584">
        <v>1840807.32</v>
      </c>
      <c r="D12" s="584">
        <v>477.56</v>
      </c>
      <c r="E12" s="584">
        <v>3031.8</v>
      </c>
      <c r="F12" s="585">
        <f>(C12*12/(E12-D12))</f>
        <v>8648.2428589325973</v>
      </c>
      <c r="G12" s="380"/>
      <c r="H12" s="388" t="s">
        <v>456</v>
      </c>
      <c r="I12" s="381" t="e">
        <f>J12+#REF!/#REF!*'С-Э и сет.расч.инд.межсет.2011'!J12</f>
        <v>#REF!</v>
      </c>
      <c r="J12" s="381" t="e">
        <f>#REF!*1000</f>
        <v>#REF!</v>
      </c>
      <c r="K12" s="382" t="e">
        <f t="shared" si="0"/>
        <v>#REF!</v>
      </c>
      <c r="L12" s="578"/>
      <c r="M12" s="599" t="e">
        <f>SUM(C22:C23)</f>
        <v>#REF!</v>
      </c>
      <c r="N12" s="599" t="e">
        <f>B22*K9</f>
        <v>#REF!</v>
      </c>
      <c r="O12" s="120"/>
      <c r="P12" s="120"/>
      <c r="Q12" s="120"/>
    </row>
    <row r="13" spans="1:17" ht="13.8" thickBot="1">
      <c r="B13" s="374" t="s">
        <v>449</v>
      </c>
      <c r="C13" s="375">
        <v>20334.72</v>
      </c>
      <c r="D13" s="375">
        <v>191.67</v>
      </c>
      <c r="E13" s="375">
        <v>235.36</v>
      </c>
      <c r="F13" s="229">
        <f>(C13*12/(E13-D13))</f>
        <v>5585.1828793774284</v>
      </c>
      <c r="G13" s="226" t="s">
        <v>349</v>
      </c>
      <c r="H13" s="386"/>
      <c r="I13" s="131" t="e">
        <f>SUM(I7:I12)</f>
        <v>#REF!</v>
      </c>
      <c r="J13" s="131" t="e">
        <f>SUM(J7:J12)</f>
        <v>#REF!</v>
      </c>
      <c r="K13" s="129" t="e">
        <f>SUM(K7:K12)</f>
        <v>#REF!</v>
      </c>
      <c r="L13" s="579">
        <f>'Баланс электроэнергии'!H8*1000</f>
        <v>22851.354319999999</v>
      </c>
      <c r="M13" s="580"/>
      <c r="N13" s="578"/>
      <c r="O13" s="120"/>
      <c r="P13" s="120"/>
      <c r="Q13" s="120"/>
    </row>
    <row r="14" spans="1:17" ht="14.4" thickTop="1" thickBot="1">
      <c r="E14" s="7" t="s">
        <v>382</v>
      </c>
      <c r="F14" s="190">
        <f>(365-53)*16</f>
        <v>4992</v>
      </c>
      <c r="G14" s="383"/>
      <c r="H14" s="389"/>
      <c r="I14" s="132" t="s">
        <v>350</v>
      </c>
      <c r="J14" s="133">
        <f>('Баланс электроэнергии'!H21+'Баланс электроэнергии'!H28)*1000</f>
        <v>21433.36332</v>
      </c>
      <c r="K14" s="134"/>
      <c r="L14" s="120"/>
      <c r="M14" s="579"/>
      <c r="N14" s="120"/>
      <c r="O14" s="120"/>
      <c r="P14" s="120"/>
      <c r="Q14" s="120"/>
    </row>
    <row r="15" spans="1:17" ht="14.4" thickTop="1">
      <c r="A15" s="403" t="s">
        <v>704</v>
      </c>
      <c r="B15" s="135"/>
      <c r="C15" s="136"/>
      <c r="D15" s="136"/>
      <c r="E15" s="136"/>
      <c r="F15" s="352"/>
      <c r="G15" s="120"/>
      <c r="H15" s="120"/>
      <c r="L15" s="581"/>
      <c r="M15" s="120"/>
      <c r="N15" s="120"/>
      <c r="O15" s="120"/>
      <c r="P15" s="120"/>
      <c r="Q15" s="120"/>
    </row>
    <row r="16" spans="1:17">
      <c r="A16" s="137"/>
      <c r="B16" s="136"/>
      <c r="C16" s="136"/>
      <c r="D16" s="138" t="s">
        <v>351</v>
      </c>
      <c r="E16" s="139" t="e">
        <f>#REF!</f>
        <v>#REF!</v>
      </c>
      <c r="F16" s="140" t="s">
        <v>352</v>
      </c>
      <c r="G16" s="140"/>
      <c r="H16" s="140"/>
      <c r="I16" s="392"/>
    </row>
    <row r="17" spans="1:17" ht="56.25" customHeight="1">
      <c r="A17" s="141" t="s">
        <v>337</v>
      </c>
      <c r="B17" s="141" t="s">
        <v>353</v>
      </c>
      <c r="C17" s="141" t="s">
        <v>354</v>
      </c>
      <c r="D17" s="141" t="s">
        <v>355</v>
      </c>
      <c r="E17" s="141" t="s">
        <v>601</v>
      </c>
      <c r="F17" s="141" t="s">
        <v>602</v>
      </c>
      <c r="G17" s="141" t="s">
        <v>426</v>
      </c>
      <c r="H17" s="141" t="s">
        <v>356</v>
      </c>
      <c r="I17" s="141" t="s">
        <v>434</v>
      </c>
      <c r="J17" s="141" t="s">
        <v>357</v>
      </c>
      <c r="K17" s="142" t="s">
        <v>358</v>
      </c>
      <c r="L17" s="143" t="s">
        <v>359</v>
      </c>
      <c r="M17" s="143" t="s">
        <v>360</v>
      </c>
      <c r="N17" s="144" t="s">
        <v>361</v>
      </c>
      <c r="O17" s="144" t="s">
        <v>362</v>
      </c>
    </row>
    <row r="18" spans="1:17" s="4" customFormat="1">
      <c r="A18" s="145"/>
      <c r="B18" s="146" t="s">
        <v>363</v>
      </c>
      <c r="C18" s="348"/>
      <c r="D18" s="145" t="s">
        <v>364</v>
      </c>
      <c r="E18" s="145" t="s">
        <v>364</v>
      </c>
      <c r="F18" s="145" t="s">
        <v>364</v>
      </c>
      <c r="G18" s="145" t="s">
        <v>364</v>
      </c>
      <c r="H18" s="145" t="s">
        <v>364</v>
      </c>
      <c r="I18" s="145" t="s">
        <v>364</v>
      </c>
      <c r="J18" s="146" t="s">
        <v>365</v>
      </c>
      <c r="K18" s="147"/>
      <c r="L18" s="148" t="s">
        <v>366</v>
      </c>
      <c r="M18" s="148" t="s">
        <v>367</v>
      </c>
      <c r="N18" s="148" t="s">
        <v>368</v>
      </c>
      <c r="O18" s="148" t="s">
        <v>369</v>
      </c>
      <c r="P18" s="191" t="s">
        <v>249</v>
      </c>
    </row>
    <row r="19" spans="1:17" s="152" customFormat="1" ht="51" customHeight="1">
      <c r="A19" s="149">
        <v>1</v>
      </c>
      <c r="B19" s="150">
        <v>2</v>
      </c>
      <c r="C19" s="150">
        <v>3</v>
      </c>
      <c r="D19" s="149">
        <v>4</v>
      </c>
      <c r="E19" s="149">
        <v>5</v>
      </c>
      <c r="F19" s="149" t="s">
        <v>441</v>
      </c>
      <c r="G19" s="149">
        <v>7</v>
      </c>
      <c r="H19" s="149">
        <v>8</v>
      </c>
      <c r="I19" s="149" t="s">
        <v>435</v>
      </c>
      <c r="J19" s="149">
        <v>10</v>
      </c>
      <c r="K19" s="151" t="s">
        <v>443</v>
      </c>
      <c r="L19" s="347" t="s">
        <v>427</v>
      </c>
      <c r="M19" s="347" t="s">
        <v>428</v>
      </c>
      <c r="N19" s="346" t="s">
        <v>429</v>
      </c>
      <c r="O19" s="346" t="s">
        <v>430</v>
      </c>
      <c r="P19" s="191" t="e">
        <f>H25/(I25)</f>
        <v>#REF!</v>
      </c>
    </row>
    <row r="20" spans="1:17">
      <c r="A20" s="153" t="s">
        <v>292</v>
      </c>
      <c r="B20" s="154" t="e">
        <f>#REF!*1000</f>
        <v>#REF!</v>
      </c>
      <c r="C20" s="154">
        <v>0</v>
      </c>
      <c r="D20" s="154">
        <v>0</v>
      </c>
      <c r="E20" s="154">
        <v>0</v>
      </c>
      <c r="F20" s="154">
        <f>D20+E20</f>
        <v>0</v>
      </c>
      <c r="G20" s="154">
        <v>0</v>
      </c>
      <c r="H20" s="154">
        <v>0</v>
      </c>
      <c r="I20" s="154">
        <f>G20+H20</f>
        <v>0</v>
      </c>
      <c r="J20" s="154" t="e">
        <f>#REF!</f>
        <v>#REF!</v>
      </c>
      <c r="K20" s="155" t="e">
        <f>H20*$E$16</f>
        <v>#REF!</v>
      </c>
      <c r="L20" s="156">
        <f>C9*D20*12-C20</f>
        <v>0</v>
      </c>
      <c r="M20" s="156" t="e">
        <f>D9*G20-K20</f>
        <v>#REF!</v>
      </c>
      <c r="N20" s="157"/>
      <c r="O20" s="157"/>
    </row>
    <row r="21" spans="1:17">
      <c r="A21" s="153" t="s">
        <v>276</v>
      </c>
      <c r="B21" s="154" t="e">
        <f>#REF!*1000</f>
        <v>#REF!</v>
      </c>
      <c r="C21" s="154">
        <v>0</v>
      </c>
      <c r="D21" s="154">
        <v>0</v>
      </c>
      <c r="E21" s="154">
        <v>0</v>
      </c>
      <c r="F21" s="154">
        <f>D21+E21</f>
        <v>0</v>
      </c>
      <c r="G21" s="154">
        <v>0</v>
      </c>
      <c r="H21" s="154">
        <v>0</v>
      </c>
      <c r="I21" s="154">
        <f>G21+H21</f>
        <v>0</v>
      </c>
      <c r="J21" s="154" t="e">
        <f>#REF!</f>
        <v>#REF!</v>
      </c>
      <c r="K21" s="155" t="e">
        <f>H21*$E$16</f>
        <v>#REF!</v>
      </c>
      <c r="L21" s="156">
        <f>C10*D21*12-C21</f>
        <v>0</v>
      </c>
      <c r="M21" s="156" t="e">
        <f>D10*G21-K21</f>
        <v>#REF!</v>
      </c>
      <c r="N21" s="157"/>
      <c r="O21" s="157"/>
    </row>
    <row r="22" spans="1:17" s="353" customFormat="1" ht="26.4">
      <c r="A22" s="361" t="s">
        <v>445</v>
      </c>
      <c r="B22" s="3056" t="e">
        <f>#REF!*1000</f>
        <v>#REF!</v>
      </c>
      <c r="C22" s="594" t="e">
        <f>$B$22*$K$9*L11+269026.72</f>
        <v>#REF!</v>
      </c>
      <c r="D22" s="162" t="e">
        <f>#REF!</f>
        <v>#REF!</v>
      </c>
      <c r="E22" s="602" t="e">
        <f>#REF!*'С-Э и сет.расч.инд.межсет.2011'!L11</f>
        <v>#REF!</v>
      </c>
      <c r="F22" s="602" t="e">
        <f>D22+E22</f>
        <v>#REF!</v>
      </c>
      <c r="G22" s="159" t="e">
        <f>#REF!</f>
        <v>#REF!</v>
      </c>
      <c r="H22" s="159" t="e">
        <f>#REF!*'С-Э и сет.расч.инд.межсет.2011'!L11</f>
        <v>#REF!</v>
      </c>
      <c r="I22" s="159" t="e">
        <f>G22+H22</f>
        <v>#REF!</v>
      </c>
      <c r="J22" s="160" t="e">
        <f>#REF!</f>
        <v>#REF!</v>
      </c>
      <c r="K22" s="362" t="e">
        <f>H22*$E$16</f>
        <v>#REF!</v>
      </c>
      <c r="L22" s="161" t="e">
        <f>F33*1000-C22</f>
        <v>#REF!</v>
      </c>
      <c r="M22" s="161" t="e">
        <f>G33*1000-K22</f>
        <v>#REF!</v>
      </c>
      <c r="N22" s="163"/>
      <c r="O22" s="163"/>
    </row>
    <row r="23" spans="1:17" s="397" customFormat="1" ht="26.4">
      <c r="A23" s="361" t="s">
        <v>714</v>
      </c>
      <c r="B23" s="3057"/>
      <c r="C23" s="591" t="e">
        <f>$B$22*$K$9*M11</f>
        <v>#REF!</v>
      </c>
      <c r="D23" s="601" t="e">
        <f>#REF!</f>
        <v>#REF!</v>
      </c>
      <c r="E23" s="602" t="e">
        <f>#REF!*'С-Э и сет.расч.инд.межсет.2011'!M11</f>
        <v>#REF!</v>
      </c>
      <c r="F23" s="602" t="e">
        <f>D23+E23</f>
        <v>#REF!</v>
      </c>
      <c r="G23" s="159" t="e">
        <f>#REF!</f>
        <v>#REF!</v>
      </c>
      <c r="H23" s="159" t="e">
        <f>#REF!*M11</f>
        <v>#REF!</v>
      </c>
      <c r="I23" s="159" t="e">
        <f>G23+H23</f>
        <v>#REF!</v>
      </c>
      <c r="J23" s="160" t="e">
        <f>#REF!</f>
        <v>#REF!</v>
      </c>
      <c r="K23" s="362" t="e">
        <f>H23*$E$16</f>
        <v>#REF!</v>
      </c>
      <c r="L23" s="161" t="e">
        <f>C13*D23*12-C23</f>
        <v>#REF!</v>
      </c>
      <c r="M23" s="161" t="e">
        <f>K33*1000-K23</f>
        <v>#REF!</v>
      </c>
      <c r="N23" s="396"/>
      <c r="O23" s="396"/>
    </row>
    <row r="24" spans="1:17" s="189" customFormat="1">
      <c r="A24" s="349" t="s">
        <v>433</v>
      </c>
      <c r="B24" s="592" t="e">
        <f>#REF!*1000</f>
        <v>#REF!</v>
      </c>
      <c r="C24" s="593" t="e">
        <f>$B$24*K10</f>
        <v>#REF!</v>
      </c>
      <c r="D24" s="600" t="e">
        <f>#REF!</f>
        <v>#REF!</v>
      </c>
      <c r="E24" s="602" t="e">
        <f>#REF!</f>
        <v>#REF!</v>
      </c>
      <c r="F24" s="602" t="e">
        <f>D24+E24</f>
        <v>#REF!</v>
      </c>
      <c r="G24" s="159" t="e">
        <f>#REF!</f>
        <v>#REF!</v>
      </c>
      <c r="H24" s="159" t="e">
        <f>#REF!</f>
        <v>#REF!</v>
      </c>
      <c r="I24" s="159" t="e">
        <f>G24+H24</f>
        <v>#REF!</v>
      </c>
      <c r="J24" s="160" t="e">
        <f>#REF!</f>
        <v>#REF!</v>
      </c>
      <c r="K24" s="362" t="e">
        <f>H24*$E$16</f>
        <v>#REF!</v>
      </c>
      <c r="L24" s="350" t="e">
        <f>C12*D24*12-C24</f>
        <v>#REF!</v>
      </c>
      <c r="M24" s="350" t="e">
        <f>D12*G24-K24</f>
        <v>#REF!</v>
      </c>
      <c r="N24" s="351"/>
      <c r="O24" s="351"/>
    </row>
    <row r="25" spans="1:17">
      <c r="A25" s="158" t="s">
        <v>248</v>
      </c>
      <c r="B25" s="344" t="e">
        <f t="shared" ref="B25:I25" si="1">SUM(B20:B24)</f>
        <v>#REF!</v>
      </c>
      <c r="C25" s="344" t="e">
        <f t="shared" si="1"/>
        <v>#REF!</v>
      </c>
      <c r="D25" s="162" t="e">
        <f t="shared" si="1"/>
        <v>#REF!</v>
      </c>
      <c r="E25" s="395" t="e">
        <f t="shared" si="1"/>
        <v>#REF!</v>
      </c>
      <c r="F25" s="398" t="e">
        <f t="shared" si="1"/>
        <v>#REF!</v>
      </c>
      <c r="G25" s="162" t="e">
        <f t="shared" si="1"/>
        <v>#REF!</v>
      </c>
      <c r="H25" s="162" t="e">
        <f t="shared" si="1"/>
        <v>#REF!</v>
      </c>
      <c r="I25" s="162" t="e">
        <f t="shared" si="1"/>
        <v>#REF!</v>
      </c>
      <c r="J25" s="162"/>
      <c r="K25" s="163" t="e">
        <f>SUM(K20:K24)</f>
        <v>#REF!</v>
      </c>
      <c r="L25" s="164" t="e">
        <f>SUM(L20:L24)</f>
        <v>#REF!</v>
      </c>
      <c r="M25" s="161" t="e">
        <f>SUM(M20:M24)</f>
        <v>#REF!</v>
      </c>
      <c r="N25" s="359" t="e">
        <f>-L25/(($F$25+$D$22+$D$23)*12)</f>
        <v>#REF!</v>
      </c>
      <c r="O25" s="359" t="e">
        <f>-M25/($I$25+$G$22+$G$23)</f>
        <v>#REF!</v>
      </c>
      <c r="P25" s="165"/>
      <c r="Q25" s="166"/>
    </row>
    <row r="26" spans="1:17" s="124" customFormat="1">
      <c r="A26" s="167" t="s">
        <v>260</v>
      </c>
      <c r="B26" s="168" t="e">
        <f>#REF!*1000</f>
        <v>#REF!</v>
      </c>
      <c r="C26" s="168" t="e">
        <f>B26*(K8+K9+K10+K11+K12)</f>
        <v>#REF!</v>
      </c>
      <c r="D26" s="345" t="e">
        <f>#REF!+#REF!</f>
        <v>#REF!</v>
      </c>
      <c r="E26" s="394" t="e">
        <f>#REF!</f>
        <v>#REF!</v>
      </c>
      <c r="F26" s="399" t="e">
        <f>#REF!</f>
        <v>#REF!</v>
      </c>
      <c r="G26" s="168" t="e">
        <f>#REF!</f>
        <v>#REF!</v>
      </c>
      <c r="H26" s="354" t="e">
        <f>#REF!</f>
        <v>#REF!</v>
      </c>
      <c r="I26" s="354" t="e">
        <f>#REF!</f>
        <v>#REF!</v>
      </c>
      <c r="J26" s="168"/>
      <c r="K26" s="168" t="e">
        <f>#REF!*#REF!</f>
        <v>#REF!</v>
      </c>
      <c r="L26" s="6"/>
      <c r="P26" s="6"/>
    </row>
    <row r="27" spans="1:17" s="124" customFormat="1">
      <c r="A27" s="167"/>
      <c r="B27" s="168"/>
      <c r="C27" s="586"/>
      <c r="D27" s="586"/>
      <c r="E27" s="394"/>
      <c r="F27" s="399"/>
      <c r="G27" s="168"/>
      <c r="H27" s="354"/>
      <c r="I27" s="354"/>
      <c r="J27" s="168"/>
      <c r="K27" s="168"/>
      <c r="L27" s="6"/>
      <c r="N27" s="359"/>
      <c r="P27" s="6"/>
    </row>
    <row r="28" spans="1:17" s="120" customFormat="1">
      <c r="B28" s="586"/>
      <c r="C28" s="586"/>
      <c r="D28" s="586"/>
      <c r="E28" s="587"/>
      <c r="F28" s="196"/>
      <c r="H28" s="586"/>
    </row>
    <row r="29" spans="1:17" ht="39.6">
      <c r="A29" s="169" t="s">
        <v>716</v>
      </c>
      <c r="B29" s="170"/>
      <c r="C29" s="170"/>
      <c r="D29" s="171"/>
      <c r="E29" s="169" t="s">
        <v>717</v>
      </c>
      <c r="F29" s="170"/>
      <c r="G29" s="170"/>
      <c r="H29" s="171"/>
      <c r="I29" s="169" t="s">
        <v>718</v>
      </c>
      <c r="J29" s="170"/>
      <c r="K29" s="170"/>
      <c r="L29" s="171"/>
      <c r="M29" s="228" t="s">
        <v>372</v>
      </c>
    </row>
    <row r="30" spans="1:17" ht="52.8">
      <c r="A30" s="172"/>
      <c r="B30" s="173" t="s">
        <v>370</v>
      </c>
      <c r="C30" s="173" t="s">
        <v>371</v>
      </c>
      <c r="D30" s="173" t="s">
        <v>372</v>
      </c>
      <c r="E30" s="172"/>
      <c r="F30" s="173" t="s">
        <v>370</v>
      </c>
      <c r="G30" s="173" t="s">
        <v>371</v>
      </c>
      <c r="H30" s="173" t="s">
        <v>372</v>
      </c>
      <c r="I30" s="172"/>
      <c r="J30" s="173" t="s">
        <v>370</v>
      </c>
      <c r="K30" s="173" t="s">
        <v>371</v>
      </c>
      <c r="L30" s="173" t="s">
        <v>372</v>
      </c>
      <c r="M30" s="228"/>
    </row>
    <row r="31" spans="1:17" hidden="1">
      <c r="A31" s="174" t="s">
        <v>292</v>
      </c>
      <c r="B31" s="175"/>
      <c r="C31" s="175"/>
      <c r="D31" s="173"/>
      <c r="E31" s="174" t="s">
        <v>292</v>
      </c>
      <c r="F31" s="175"/>
      <c r="G31" s="175"/>
      <c r="H31" s="173"/>
      <c r="I31" s="174" t="s">
        <v>292</v>
      </c>
      <c r="J31" s="175"/>
      <c r="K31" s="175"/>
      <c r="L31" s="173"/>
      <c r="M31" s="228"/>
    </row>
    <row r="32" spans="1:17" hidden="1">
      <c r="A32" s="176" t="s">
        <v>276</v>
      </c>
      <c r="B32" s="177"/>
      <c r="C32" s="177"/>
      <c r="D32" s="177"/>
      <c r="E32" s="176" t="s">
        <v>276</v>
      </c>
      <c r="F32" s="177"/>
      <c r="G32" s="177"/>
      <c r="H32" s="177"/>
      <c r="I32" s="176" t="s">
        <v>276</v>
      </c>
      <c r="J32" s="177"/>
      <c r="K32" s="177"/>
      <c r="L32" s="177"/>
      <c r="M32" s="228"/>
    </row>
    <row r="33" spans="1:14">
      <c r="A33" s="358" t="s">
        <v>384</v>
      </c>
      <c r="B33" s="176"/>
      <c r="C33" s="176"/>
      <c r="D33" s="154">
        <f>B33+C33</f>
        <v>0</v>
      </c>
      <c r="E33" s="178" t="s">
        <v>348</v>
      </c>
      <c r="F33" s="179" t="e">
        <f>$F$38*$D$22*12/1000</f>
        <v>#REF!</v>
      </c>
      <c r="G33" s="179" t="e">
        <f>$G$38*$G$22/1000</f>
        <v>#REF!</v>
      </c>
      <c r="H33" s="228" t="e">
        <f>F33+G33</f>
        <v>#REF!</v>
      </c>
      <c r="I33" s="178" t="s">
        <v>348</v>
      </c>
      <c r="J33" s="179" t="e">
        <f>$J$38*$D$23*12/1000</f>
        <v>#REF!</v>
      </c>
      <c r="K33" s="179" t="e">
        <f>$K$38*$G$23/1000</f>
        <v>#REF!</v>
      </c>
      <c r="L33" s="228" t="e">
        <f>J33+K33</f>
        <v>#REF!</v>
      </c>
      <c r="M33" s="228" t="e">
        <f>D33+H33+L33</f>
        <v>#REF!</v>
      </c>
    </row>
    <row r="34" spans="1:14">
      <c r="A34" s="358" t="s">
        <v>604</v>
      </c>
      <c r="B34" s="176"/>
      <c r="C34" s="176"/>
      <c r="D34" s="154">
        <f>B34+C34</f>
        <v>0</v>
      </c>
      <c r="E34" s="176"/>
      <c r="F34" s="179"/>
      <c r="G34" s="179"/>
      <c r="H34" s="179"/>
      <c r="I34" s="176"/>
      <c r="J34" s="179"/>
      <c r="K34" s="179"/>
      <c r="L34" s="179"/>
      <c r="M34" s="228"/>
    </row>
    <row r="35" spans="1:14" ht="13.5" customHeight="1">
      <c r="A35" s="358" t="s">
        <v>603</v>
      </c>
      <c r="B35" s="178" t="e">
        <f>$C$12*$D$24*12/1000</f>
        <v>#REF!</v>
      </c>
      <c r="C35" s="176" t="e">
        <f>$D$12*$G$24/1000</f>
        <v>#REF!</v>
      </c>
      <c r="D35" s="179" t="e">
        <f>B35+C35</f>
        <v>#REF!</v>
      </c>
      <c r="E35" s="176" t="s">
        <v>280</v>
      </c>
      <c r="F35" s="179"/>
      <c r="G35" s="179"/>
      <c r="H35" s="179"/>
      <c r="I35" s="176" t="s">
        <v>280</v>
      </c>
      <c r="J35" s="179"/>
      <c r="K35" s="179"/>
      <c r="L35" s="179"/>
      <c r="M35" s="228" t="e">
        <f>D35+H35+L35</f>
        <v>#REF!</v>
      </c>
    </row>
    <row r="36" spans="1:14" ht="13.5" customHeight="1">
      <c r="A36" s="176" t="s">
        <v>248</v>
      </c>
      <c r="B36" s="179" t="e">
        <f>SUM(B33:B35)</f>
        <v>#REF!</v>
      </c>
      <c r="C36" s="179" t="e">
        <f>SUM(C33:C35)</f>
        <v>#REF!</v>
      </c>
      <c r="D36" s="227" t="e">
        <f>SUM(D33:D35)</f>
        <v>#REF!</v>
      </c>
      <c r="E36" s="176" t="s">
        <v>248</v>
      </c>
      <c r="F36" s="179" t="e">
        <f>SUM(F33:F35)</f>
        <v>#REF!</v>
      </c>
      <c r="G36" s="179" t="e">
        <f>SUM(G33:G35)</f>
        <v>#REF!</v>
      </c>
      <c r="H36" s="227" t="e">
        <f>SUM(H33:H35)</f>
        <v>#REF!</v>
      </c>
      <c r="I36" s="176" t="s">
        <v>248</v>
      </c>
      <c r="J36" s="179" t="e">
        <f>SUM(J33:J35)</f>
        <v>#REF!</v>
      </c>
      <c r="K36" s="179" t="e">
        <f>SUM(K33:K35)</f>
        <v>#REF!</v>
      </c>
      <c r="L36" s="227" t="e">
        <f>SUM(L33:L35)</f>
        <v>#REF!</v>
      </c>
      <c r="M36" s="227" t="e">
        <f>SUM(M33:M35)</f>
        <v>#REF!</v>
      </c>
    </row>
    <row r="37" spans="1:14" ht="13.8" thickBot="1">
      <c r="A37" s="180"/>
      <c r="B37" s="360" t="s">
        <v>446</v>
      </c>
      <c r="C37" s="360">
        <f>'пл.об расч.по инд.межсет.тар.11'!N23</f>
        <v>17138.600000000002</v>
      </c>
      <c r="D37" s="360" t="e">
        <f>D36-C37</f>
        <v>#REF!</v>
      </c>
      <c r="E37" s="120"/>
    </row>
    <row r="38" spans="1:14" ht="25.5" customHeight="1" thickTop="1" thickBot="1">
      <c r="A38" s="203" t="s">
        <v>708</v>
      </c>
      <c r="B38" s="201"/>
      <c r="C38" s="202"/>
      <c r="D38" s="595"/>
      <c r="E38" s="596" t="s">
        <v>444</v>
      </c>
      <c r="F38" s="597"/>
      <c r="G38" s="598"/>
      <c r="H38" s="610"/>
      <c r="I38" s="596" t="s">
        <v>719</v>
      </c>
      <c r="J38" s="597"/>
      <c r="K38" s="598"/>
      <c r="L38" s="610"/>
    </row>
    <row r="39" spans="1:14" ht="14.4" thickTop="1">
      <c r="A39" s="181"/>
      <c r="B39" s="182"/>
      <c r="C39" s="223" t="e">
        <f>O25*I25/1000</f>
        <v>#REF!</v>
      </c>
      <c r="D39" s="183" t="e">
        <f>B39+C39</f>
        <v>#REF!</v>
      </c>
      <c r="F39" s="371"/>
      <c r="G39" s="372" t="s">
        <v>442</v>
      </c>
      <c r="H39" s="371"/>
      <c r="I39" s="357"/>
      <c r="J39" s="371"/>
      <c r="K39" s="371"/>
      <c r="L39" s="371"/>
      <c r="M39" s="371"/>
      <c r="N39" s="371"/>
    </row>
    <row r="40" spans="1:14" ht="13.8">
      <c r="A40" s="376" t="s">
        <v>709</v>
      </c>
      <c r="B40" s="377"/>
      <c r="C40" s="377"/>
      <c r="D40" s="378"/>
      <c r="E40" s="120"/>
      <c r="F40" s="373" t="s">
        <v>448</v>
      </c>
      <c r="G40" s="371"/>
      <c r="H40" s="357"/>
      <c r="I40" s="357" t="s">
        <v>711</v>
      </c>
      <c r="J40" s="357" t="s">
        <v>712</v>
      </c>
      <c r="K40" s="371"/>
      <c r="L40" s="371"/>
      <c r="M40" s="371"/>
      <c r="N40" s="371"/>
    </row>
    <row r="41" spans="1:14" ht="27">
      <c r="A41" s="184" t="s">
        <v>710</v>
      </c>
      <c r="B41" s="185"/>
      <c r="C41" s="186"/>
      <c r="D41" s="186"/>
      <c r="E41" s="120"/>
      <c r="H41" s="120"/>
      <c r="I41" s="355"/>
      <c r="J41" s="355"/>
      <c r="K41" s="120"/>
      <c r="L41" s="120"/>
      <c r="M41" s="369"/>
    </row>
    <row r="42" spans="1:14" ht="27.75" customHeight="1">
      <c r="A42" s="3059" t="s">
        <v>373</v>
      </c>
      <c r="B42" s="3060"/>
      <c r="C42" s="3061"/>
      <c r="D42" s="187" t="e">
        <f>D36+H36+L36-D39</f>
        <v>#REF!</v>
      </c>
      <c r="E42" s="87"/>
      <c r="J42" s="355"/>
      <c r="K42" s="356"/>
      <c r="L42" s="370"/>
      <c r="M42" s="369"/>
    </row>
    <row r="43" spans="1:14" s="189" customFormat="1" ht="17.25" customHeight="1">
      <c r="A43" s="3053" t="s">
        <v>374</v>
      </c>
      <c r="B43" s="3054"/>
      <c r="C43" s="3055"/>
      <c r="D43" s="188" t="e">
        <f>#REF!</f>
        <v>#REF!</v>
      </c>
      <c r="E43" s="400" t="e">
        <f>K26/1000+C26/1000</f>
        <v>#REF!</v>
      </c>
      <c r="F43" s="212"/>
    </row>
    <row r="44" spans="1:14">
      <c r="I44" s="120"/>
    </row>
    <row r="45" spans="1:14">
      <c r="J45" s="120"/>
      <c r="K45" s="120"/>
    </row>
  </sheetData>
  <mergeCells count="7">
    <mergeCell ref="A43:C43"/>
    <mergeCell ref="B22:B23"/>
    <mergeCell ref="E5:E6"/>
    <mergeCell ref="C5:C6"/>
    <mergeCell ref="G8:G11"/>
    <mergeCell ref="B5:B8"/>
    <mergeCell ref="A42:C42"/>
  </mergeCells>
  <printOptions horizontalCentered="1"/>
  <pageMargins left="0.39370078740157483" right="0.39370078740157483" top="0" bottom="3.937007874015748E-2" header="0.11811023622047245" footer="3.937007874015748E-2"/>
  <pageSetup paperSize="9" scale="67" orientation="landscape" r:id="rId1"/>
  <headerFooter>
    <oddFooter>&amp;L&amp;8________________________________________________________________________
&amp;F&amp;A</oddFooter>
  </headerFooter>
  <legacy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7"/>
  <dimension ref="A1:Q81"/>
  <sheetViews>
    <sheetView workbookViewId="0">
      <selection activeCell="K8" sqref="K8"/>
    </sheetView>
  </sheetViews>
  <sheetFormatPr defaultColWidth="9.109375" defaultRowHeight="14.4"/>
  <cols>
    <col min="1" max="1" width="9.109375" style="1311"/>
    <col min="2" max="2" width="13.33203125" style="1311" customWidth="1"/>
    <col min="3" max="3" width="8.5546875" style="1312" customWidth="1"/>
    <col min="4" max="4" width="13.33203125" style="1311" customWidth="1"/>
    <col min="5" max="5" width="8.5546875" style="1311" customWidth="1"/>
    <col min="6" max="6" width="13.33203125" style="1311" customWidth="1"/>
    <col min="7" max="7" width="8.5546875" style="1311" customWidth="1"/>
    <col min="8" max="16384" width="9.109375" style="1311"/>
  </cols>
  <sheetData>
    <row r="1" spans="1:17" ht="15.6">
      <c r="A1" s="1309" t="s">
        <v>1236</v>
      </c>
      <c r="B1" s="1309"/>
      <c r="C1" s="1310"/>
      <c r="D1" s="1309"/>
      <c r="E1" s="1309"/>
      <c r="F1" s="1309"/>
      <c r="G1" s="1309"/>
    </row>
    <row r="2" spans="1:17" ht="18.75" customHeight="1">
      <c r="A2" s="1309" t="s">
        <v>1237</v>
      </c>
      <c r="B2" s="1309"/>
      <c r="C2" s="1310"/>
      <c r="D2" s="1309"/>
      <c r="E2" s="1309"/>
      <c r="F2" s="1309"/>
      <c r="G2" s="1309"/>
    </row>
    <row r="3" spans="1:17" hidden="1"/>
    <row r="4" spans="1:17" s="1317" customFormat="1" ht="15.6" hidden="1">
      <c r="A4" s="1313" t="s">
        <v>268</v>
      </c>
      <c r="B4" s="1314"/>
      <c r="C4" s="1315"/>
      <c r="D4" s="1314"/>
      <c r="E4" s="1314"/>
      <c r="F4" s="1316"/>
      <c r="G4" s="1314"/>
      <c r="N4" s="1318"/>
      <c r="O4" s="1318"/>
      <c r="P4" s="1318"/>
    </row>
    <row r="5" spans="1:17" s="1317" customFormat="1" ht="15.75" hidden="1" customHeight="1">
      <c r="A5" s="3018" t="s">
        <v>1238</v>
      </c>
      <c r="B5" s="1319" t="s">
        <v>1239</v>
      </c>
      <c r="C5" s="1320"/>
      <c r="D5" s="1321"/>
      <c r="E5" s="1319"/>
      <c r="F5" s="1319" t="s">
        <v>1240</v>
      </c>
      <c r="G5" s="1319"/>
      <c r="H5" s="3018" t="s">
        <v>336</v>
      </c>
      <c r="O5" s="1318"/>
      <c r="P5" s="1318"/>
      <c r="Q5" s="1318"/>
    </row>
    <row r="6" spans="1:17" s="1317" customFormat="1" ht="69" hidden="1" customHeight="1">
      <c r="A6" s="3019"/>
      <c r="B6" s="1322" t="s">
        <v>338</v>
      </c>
      <c r="C6" s="1323" t="s">
        <v>1241</v>
      </c>
      <c r="D6" s="1322" t="s">
        <v>385</v>
      </c>
      <c r="E6" s="1324" t="s">
        <v>1241</v>
      </c>
      <c r="F6" s="1325" t="s">
        <v>340</v>
      </c>
      <c r="G6" s="1324" t="s">
        <v>1241</v>
      </c>
      <c r="H6" s="3020"/>
      <c r="N6" s="1318"/>
    </row>
    <row r="7" spans="1:17" s="1317" customFormat="1" ht="15.6" hidden="1">
      <c r="A7" s="3019"/>
      <c r="B7" s="1326" t="s">
        <v>1242</v>
      </c>
      <c r="C7" s="1327" t="s">
        <v>87</v>
      </c>
      <c r="D7" s="1326" t="s">
        <v>1243</v>
      </c>
      <c r="E7" s="1328" t="s">
        <v>87</v>
      </c>
      <c r="F7" s="1325"/>
      <c r="G7" s="1328" t="s">
        <v>87</v>
      </c>
      <c r="H7" s="1326" t="s">
        <v>450</v>
      </c>
      <c r="O7" s="1318"/>
      <c r="P7" s="1318"/>
      <c r="Q7" s="1318"/>
    </row>
    <row r="8" spans="1:17" s="1318" customFormat="1" ht="15.6" hidden="1">
      <c r="A8" s="3020"/>
      <c r="B8" s="1329" t="s">
        <v>99</v>
      </c>
      <c r="C8" s="1330"/>
      <c r="D8" s="1329" t="s">
        <v>344</v>
      </c>
      <c r="E8" s="1330"/>
      <c r="F8" s="1329" t="s">
        <v>344</v>
      </c>
      <c r="G8" s="1330"/>
      <c r="H8" s="1329" t="s">
        <v>1244</v>
      </c>
    </row>
    <row r="9" spans="1:17" s="1318" customFormat="1" ht="15.6" hidden="1">
      <c r="A9" s="1331" t="s">
        <v>292</v>
      </c>
      <c r="B9" s="1332">
        <v>124404</v>
      </c>
      <c r="C9" s="1330"/>
      <c r="D9" s="1332">
        <v>228.06</v>
      </c>
      <c r="E9" s="1330"/>
      <c r="F9" s="1332">
        <v>433</v>
      </c>
      <c r="G9" s="1330"/>
      <c r="H9" s="1333">
        <f>(B9*12/(F9-D9))</f>
        <v>7284.3173611788816</v>
      </c>
    </row>
    <row r="10" spans="1:17" s="1318" customFormat="1" ht="15.6" hidden="1">
      <c r="A10" s="1331" t="s">
        <v>276</v>
      </c>
      <c r="B10" s="1332">
        <v>166069</v>
      </c>
      <c r="C10" s="1330"/>
      <c r="D10" s="1332">
        <v>749.32</v>
      </c>
      <c r="E10" s="1330"/>
      <c r="F10" s="1332">
        <v>1022.95</v>
      </c>
      <c r="G10" s="1330"/>
      <c r="H10" s="1333">
        <f>(B10*12/(F10-D10))</f>
        <v>7282.9295033439321</v>
      </c>
    </row>
    <row r="11" spans="1:17" s="1318" customFormat="1" ht="15.6" hidden="1">
      <c r="A11" s="1331" t="s">
        <v>348</v>
      </c>
      <c r="B11" s="1332">
        <v>417747</v>
      </c>
      <c r="C11" s="1330"/>
      <c r="D11" s="1332">
        <v>810.58</v>
      </c>
      <c r="E11" s="1330"/>
      <c r="F11" s="1332">
        <v>1498.78</v>
      </c>
      <c r="G11" s="1330"/>
      <c r="H11" s="1333">
        <f>(B11*12/(F11-D11))</f>
        <v>7284.167393199652</v>
      </c>
    </row>
    <row r="12" spans="1:17" s="1318" customFormat="1" ht="15.6" hidden="1">
      <c r="A12" s="1331" t="s">
        <v>280</v>
      </c>
      <c r="B12" s="1332">
        <v>481133</v>
      </c>
      <c r="C12" s="1330"/>
      <c r="D12" s="1332">
        <v>1074.45</v>
      </c>
      <c r="E12" s="1330"/>
      <c r="F12" s="1332">
        <v>1903</v>
      </c>
      <c r="G12" s="1330"/>
      <c r="H12" s="1333">
        <f>(B12*12/(F12-D12))</f>
        <v>6968.3133184478911</v>
      </c>
    </row>
    <row r="13" spans="1:17" s="1318" customFormat="1" ht="21.75" hidden="1" customHeight="1">
      <c r="A13" s="1331" t="s">
        <v>449</v>
      </c>
      <c r="B13" s="1332"/>
      <c r="C13" s="1330"/>
      <c r="D13" s="1332"/>
      <c r="E13" s="1330"/>
      <c r="F13" s="1332"/>
      <c r="G13" s="1330"/>
      <c r="H13" s="1333" t="e">
        <f>(B13*12/(F13-D13))</f>
        <v>#DIV/0!</v>
      </c>
    </row>
    <row r="14" spans="1:17" s="1318" customFormat="1" ht="21.75" hidden="1" customHeight="1">
      <c r="A14" s="1334"/>
      <c r="B14" s="1335"/>
      <c r="C14" s="1336"/>
      <c r="D14" s="1335"/>
      <c r="E14" s="1336"/>
      <c r="F14" s="1335"/>
      <c r="G14" s="1336"/>
      <c r="H14" s="1337"/>
    </row>
    <row r="15" spans="1:17" s="1317" customFormat="1" ht="15.6" hidden="1">
      <c r="A15" s="1313" t="s">
        <v>269</v>
      </c>
      <c r="B15" s="1314"/>
      <c r="C15" s="1315"/>
      <c r="D15" s="1314"/>
      <c r="E15" s="1314"/>
      <c r="F15" s="1316"/>
      <c r="G15" s="1314"/>
      <c r="N15" s="1318"/>
      <c r="O15" s="1318"/>
      <c r="P15" s="1318"/>
    </row>
    <row r="16" spans="1:17" s="1317" customFormat="1" ht="15.75" hidden="1" customHeight="1">
      <c r="A16" s="3018" t="s">
        <v>1238</v>
      </c>
      <c r="B16" s="1319" t="s">
        <v>1239</v>
      </c>
      <c r="C16" s="1320"/>
      <c r="D16" s="1321"/>
      <c r="E16" s="1319"/>
      <c r="F16" s="1319" t="s">
        <v>1240</v>
      </c>
      <c r="G16" s="1319"/>
      <c r="H16" s="3018" t="s">
        <v>336</v>
      </c>
      <c r="O16" s="1318"/>
      <c r="P16" s="1318"/>
      <c r="Q16" s="1318"/>
    </row>
    <row r="17" spans="1:17" s="1317" customFormat="1" ht="69" hidden="1" customHeight="1">
      <c r="A17" s="3019"/>
      <c r="B17" s="1322" t="s">
        <v>338</v>
      </c>
      <c r="C17" s="1323" t="s">
        <v>1241</v>
      </c>
      <c r="D17" s="1322" t="s">
        <v>385</v>
      </c>
      <c r="E17" s="1324" t="s">
        <v>1241</v>
      </c>
      <c r="F17" s="1325" t="s">
        <v>340</v>
      </c>
      <c r="G17" s="1324" t="s">
        <v>1241</v>
      </c>
      <c r="H17" s="3020"/>
      <c r="N17" s="1318"/>
    </row>
    <row r="18" spans="1:17" s="1317" customFormat="1" ht="15.6" hidden="1">
      <c r="A18" s="3019"/>
      <c r="B18" s="1326" t="s">
        <v>1242</v>
      </c>
      <c r="C18" s="1327" t="s">
        <v>87</v>
      </c>
      <c r="D18" s="1326" t="s">
        <v>1243</v>
      </c>
      <c r="E18" s="1328" t="s">
        <v>87</v>
      </c>
      <c r="F18" s="1325"/>
      <c r="G18" s="1328" t="s">
        <v>87</v>
      </c>
      <c r="H18" s="1326" t="s">
        <v>450</v>
      </c>
      <c r="O18" s="1318"/>
      <c r="P18" s="1318"/>
      <c r="Q18" s="1318"/>
    </row>
    <row r="19" spans="1:17" s="1318" customFormat="1" ht="15.6" hidden="1">
      <c r="A19" s="3020"/>
      <c r="B19" s="1329" t="s">
        <v>99</v>
      </c>
      <c r="C19" s="1330"/>
      <c r="D19" s="1329" t="s">
        <v>344</v>
      </c>
      <c r="E19" s="1330"/>
      <c r="F19" s="1329" t="s">
        <v>344</v>
      </c>
      <c r="G19" s="1330"/>
      <c r="H19" s="1329" t="s">
        <v>1244</v>
      </c>
    </row>
    <row r="20" spans="1:17" s="1318" customFormat="1" ht="15.6" hidden="1">
      <c r="A20" s="1331" t="s">
        <v>292</v>
      </c>
      <c r="B20" s="1332">
        <v>300621.82</v>
      </c>
      <c r="C20" s="1330">
        <f>B20/B9-1</f>
        <v>1.4164964149062733</v>
      </c>
      <c r="D20" s="1332">
        <v>176.8</v>
      </c>
      <c r="E20" s="1330">
        <f t="shared" ref="C20:E23" si="0">D20/D9-1</f>
        <v>-0.22476541261071648</v>
      </c>
      <c r="F20" s="1332">
        <v>592.41</v>
      </c>
      <c r="G20" s="1330">
        <f>F20/F9-1</f>
        <v>0.36815242494226319</v>
      </c>
      <c r="H20" s="1333">
        <f>(B20*12/(F20-D20))</f>
        <v>8679.9206948822211</v>
      </c>
    </row>
    <row r="21" spans="1:17" s="1318" customFormat="1" ht="15.6" hidden="1">
      <c r="A21" s="1331" t="s">
        <v>276</v>
      </c>
      <c r="B21" s="1332">
        <v>490793.23</v>
      </c>
      <c r="C21" s="1330">
        <f t="shared" si="0"/>
        <v>1.9553572912464094</v>
      </c>
      <c r="D21" s="1332">
        <v>180</v>
      </c>
      <c r="E21" s="1330">
        <f t="shared" si="0"/>
        <v>-0.75978220253029416</v>
      </c>
      <c r="F21" s="1332">
        <v>969.48</v>
      </c>
      <c r="G21" s="1330">
        <f>F21/F10-1</f>
        <v>-5.2270394447431423E-2</v>
      </c>
      <c r="H21" s="1333">
        <f>(B21*12/(F21-D21))</f>
        <v>7459.9974160206712</v>
      </c>
    </row>
    <row r="22" spans="1:17" s="1318" customFormat="1" ht="15.6" hidden="1">
      <c r="A22" s="1331" t="s">
        <v>348</v>
      </c>
      <c r="B22" s="1332">
        <v>680321</v>
      </c>
      <c r="C22" s="1330">
        <f t="shared" si="0"/>
        <v>0.6285479010022812</v>
      </c>
      <c r="D22" s="1332">
        <v>210</v>
      </c>
      <c r="E22" s="1330">
        <f t="shared" si="0"/>
        <v>-0.74092625033926329</v>
      </c>
      <c r="F22" s="1332">
        <v>1441.35</v>
      </c>
      <c r="G22" s="1330">
        <f>F22/F11-1</f>
        <v>-3.8317831836560456E-2</v>
      </c>
      <c r="H22" s="1333">
        <f>(B22*12/(F22-D22))</f>
        <v>6630.0012181751745</v>
      </c>
    </row>
    <row r="23" spans="1:17" s="1318" customFormat="1" ht="15.6" hidden="1">
      <c r="A23" s="1331" t="s">
        <v>280</v>
      </c>
      <c r="B23" s="1332">
        <v>851305.82</v>
      </c>
      <c r="C23" s="1330">
        <f t="shared" si="0"/>
        <v>0.76937732394161262</v>
      </c>
      <c r="D23" s="1332">
        <v>432</v>
      </c>
      <c r="E23" s="1330">
        <f t="shared" si="0"/>
        <v>-0.59793382660896266</v>
      </c>
      <c r="F23" s="1332">
        <v>2296.17</v>
      </c>
      <c r="G23" s="1330">
        <f>F23/F12-1</f>
        <v>0.20660535995796114</v>
      </c>
      <c r="H23" s="1333">
        <f>(B23*12/(F23-D23))</f>
        <v>5480.0097845153605</v>
      </c>
    </row>
    <row r="24" spans="1:17" s="1318" customFormat="1" ht="21.75" hidden="1" customHeight="1">
      <c r="A24" s="1331" t="s">
        <v>449</v>
      </c>
      <c r="B24" s="1332">
        <v>116581.82</v>
      </c>
      <c r="C24" s="1330"/>
      <c r="D24" s="1332">
        <v>162.69999999999999</v>
      </c>
      <c r="E24" s="1330"/>
      <c r="F24" s="1332">
        <v>380.24</v>
      </c>
      <c r="G24" s="1330"/>
      <c r="H24" s="1333">
        <f>(B24*12/(F24-D24))</f>
        <v>6430.9177162820624</v>
      </c>
    </row>
    <row r="25" spans="1:17" s="1318" customFormat="1" ht="21.75" customHeight="1">
      <c r="A25" s="1334"/>
      <c r="B25" s="1335"/>
      <c r="C25" s="1336"/>
      <c r="D25" s="1335"/>
      <c r="E25" s="1335"/>
      <c r="F25" s="1338" t="s">
        <v>1245</v>
      </c>
      <c r="G25" s="1335"/>
      <c r="H25" s="1337"/>
    </row>
    <row r="26" spans="1:17" s="1317" customFormat="1" ht="15.6">
      <c r="A26" s="1339" t="s">
        <v>607</v>
      </c>
      <c r="B26" s="1340"/>
      <c r="C26" s="1341"/>
      <c r="D26" s="1340"/>
      <c r="E26" s="1340"/>
      <c r="F26" s="1342"/>
      <c r="G26" s="1340"/>
      <c r="H26" s="1343"/>
      <c r="J26" s="1344" t="s">
        <v>1246</v>
      </c>
      <c r="K26" s="1344"/>
      <c r="N26" s="1318"/>
      <c r="O26" s="1318"/>
      <c r="P26" s="1318"/>
    </row>
    <row r="27" spans="1:17" s="1317" customFormat="1" ht="15.75" customHeight="1">
      <c r="A27" s="3024" t="s">
        <v>1238</v>
      </c>
      <c r="B27" s="1345" t="s">
        <v>1239</v>
      </c>
      <c r="C27" s="1346"/>
      <c r="D27" s="1347"/>
      <c r="E27" s="1345"/>
      <c r="F27" s="1345" t="s">
        <v>1240</v>
      </c>
      <c r="G27" s="1345"/>
      <c r="H27" s="3024" t="s">
        <v>336</v>
      </c>
      <c r="O27" s="1318"/>
      <c r="P27" s="1318"/>
      <c r="Q27" s="1318"/>
    </row>
    <row r="28" spans="1:17" s="1317" customFormat="1" ht="69" customHeight="1">
      <c r="A28" s="3062"/>
      <c r="B28" s="1348" t="s">
        <v>338</v>
      </c>
      <c r="C28" s="1349" t="s">
        <v>1241</v>
      </c>
      <c r="D28" s="1348" t="s">
        <v>385</v>
      </c>
      <c r="E28" s="1350" t="s">
        <v>1241</v>
      </c>
      <c r="F28" s="1351" t="s">
        <v>340</v>
      </c>
      <c r="G28" s="1350" t="s">
        <v>1241</v>
      </c>
      <c r="H28" s="3063"/>
      <c r="J28" s="1352" t="s">
        <v>1247</v>
      </c>
      <c r="K28" s="1352"/>
      <c r="L28" s="1352"/>
      <c r="N28" s="1318"/>
    </row>
    <row r="29" spans="1:17" s="1317" customFormat="1" ht="15.6">
      <c r="A29" s="3062"/>
      <c r="B29" s="1353" t="s">
        <v>1242</v>
      </c>
      <c r="C29" s="1354" t="s">
        <v>87</v>
      </c>
      <c r="D29" s="1353" t="s">
        <v>1243</v>
      </c>
      <c r="E29" s="1351" t="s">
        <v>87</v>
      </c>
      <c r="F29" s="1351"/>
      <c r="G29" s="1351" t="s">
        <v>87</v>
      </c>
      <c r="H29" s="1353" t="s">
        <v>450</v>
      </c>
      <c r="J29" s="1355" t="s">
        <v>1248</v>
      </c>
      <c r="K29" s="1355"/>
      <c r="L29" s="1356" t="s">
        <v>1249</v>
      </c>
      <c r="O29" s="1318"/>
      <c r="P29" s="1318"/>
      <c r="Q29" s="1318"/>
    </row>
    <row r="30" spans="1:17" s="1317" customFormat="1" ht="15.6">
      <c r="A30" s="3063"/>
      <c r="B30" s="1351" t="s">
        <v>99</v>
      </c>
      <c r="C30" s="1354"/>
      <c r="D30" s="1351" t="s">
        <v>344</v>
      </c>
      <c r="E30" s="1351"/>
      <c r="F30" s="1351" t="s">
        <v>344</v>
      </c>
      <c r="G30" s="1351"/>
      <c r="H30" s="1351" t="s">
        <v>1244</v>
      </c>
      <c r="J30" s="1357" t="s">
        <v>1250</v>
      </c>
      <c r="K30" s="1358" t="s">
        <v>1251</v>
      </c>
      <c r="L30" s="1359"/>
      <c r="O30" s="1318"/>
      <c r="P30" s="1318"/>
      <c r="Q30" s="1318"/>
    </row>
    <row r="31" spans="1:17" s="1317" customFormat="1" ht="15.6">
      <c r="A31" s="1348" t="s">
        <v>292</v>
      </c>
      <c r="B31" s="1360">
        <v>364484.63</v>
      </c>
      <c r="C31" s="1361">
        <f>B31/B20-1</f>
        <v>0.2124357107544621</v>
      </c>
      <c r="D31" s="1360">
        <v>151.36000000000001</v>
      </c>
      <c r="E31" s="1361">
        <f>D31/D20-1</f>
        <v>-0.14389140271493206</v>
      </c>
      <c r="F31" s="1360">
        <v>671</v>
      </c>
      <c r="G31" s="1361">
        <f>F31/F20-1</f>
        <v>0.1326615013250958</v>
      </c>
      <c r="H31" s="1362">
        <f>(B31*12/(F31-D31))</f>
        <v>8417.0109306442937</v>
      </c>
      <c r="J31" s="1363">
        <f>B31/B9-1</f>
        <v>1.9298465483424971</v>
      </c>
      <c r="K31" s="1363">
        <f>D31/D9-1</f>
        <v>-0.33631500482329202</v>
      </c>
      <c r="L31" s="1363">
        <f>F31/F9-1</f>
        <v>0.54965357967667439</v>
      </c>
      <c r="N31" s="1363">
        <v>0.21461487820934821</v>
      </c>
      <c r="O31" s="1318"/>
      <c r="P31" s="1318"/>
      <c r="Q31" s="1318"/>
    </row>
    <row r="32" spans="1:17" s="1317" customFormat="1" ht="15.6">
      <c r="A32" s="1348" t="s">
        <v>276</v>
      </c>
      <c r="B32" s="1360">
        <v>684381.17</v>
      </c>
      <c r="C32" s="1361">
        <f t="shared" ref="C32:E35" si="1">B32/B21-1</f>
        <v>0.3944388963963501</v>
      </c>
      <c r="D32" s="1360">
        <v>162.12</v>
      </c>
      <c r="E32" s="1361">
        <f t="shared" si="1"/>
        <v>-9.9333333333333274E-2</v>
      </c>
      <c r="F32" s="1360">
        <v>1153.6500000000001</v>
      </c>
      <c r="G32" s="1361">
        <f>F32/F21-1</f>
        <v>0.18996781779923255</v>
      </c>
      <c r="H32" s="1362">
        <f>(B32*12/(F32-D32))</f>
        <v>8282.7287525339634</v>
      </c>
      <c r="J32" s="1363">
        <f>B32/B10-1</f>
        <v>3.1210651596625505</v>
      </c>
      <c r="K32" s="1363">
        <f>D32/D10-1</f>
        <v>-0.78364383707895158</v>
      </c>
      <c r="L32" s="1363">
        <f>F32/F10-1</f>
        <v>0.12776773058311752</v>
      </c>
      <c r="N32" s="1363">
        <v>0.24512109584519526</v>
      </c>
      <c r="O32" s="1318"/>
      <c r="P32" s="1318"/>
      <c r="Q32" s="1318"/>
    </row>
    <row r="33" spans="1:17" s="1317" customFormat="1" ht="15.6">
      <c r="A33" s="1348" t="s">
        <v>348</v>
      </c>
      <c r="B33" s="1360">
        <v>942948.34</v>
      </c>
      <c r="C33" s="1361">
        <f t="shared" si="1"/>
        <v>0.38603444550440158</v>
      </c>
      <c r="D33" s="1360">
        <v>414.16</v>
      </c>
      <c r="E33" s="1361">
        <f t="shared" si="1"/>
        <v>0.97219047619047627</v>
      </c>
      <c r="F33" s="1360">
        <v>1847.1</v>
      </c>
      <c r="G33" s="1361">
        <f>F33/F22-1</f>
        <v>0.28150692059527538</v>
      </c>
      <c r="H33" s="1362">
        <f>(B33*12/(F33-D33))</f>
        <v>7896.6181975518875</v>
      </c>
      <c r="J33" s="1363">
        <f>B33/B11-1</f>
        <v>1.2572234869430541</v>
      </c>
      <c r="K33" s="1363">
        <f>D33/D11-1</f>
        <v>-0.48905721828813931</v>
      </c>
      <c r="L33" s="1363">
        <f>F33/F11-1</f>
        <v>0.23240235391451702</v>
      </c>
      <c r="N33" s="1363">
        <v>0.35747736497034044</v>
      </c>
      <c r="O33" s="1318"/>
      <c r="P33" s="1318"/>
      <c r="Q33" s="1318"/>
    </row>
    <row r="34" spans="1:17" s="1317" customFormat="1" ht="15.6">
      <c r="A34" s="1348" t="s">
        <v>280</v>
      </c>
      <c r="B34" s="1360">
        <v>1640145.12</v>
      </c>
      <c r="C34" s="1361">
        <f t="shared" si="1"/>
        <v>0.92662270299056604</v>
      </c>
      <c r="D34" s="1360">
        <v>472.06</v>
      </c>
      <c r="E34" s="1361">
        <f t="shared" si="1"/>
        <v>9.273148148148147E-2</v>
      </c>
      <c r="F34" s="1360">
        <v>2747.68</v>
      </c>
      <c r="G34" s="1361">
        <f>F34/F23-1</f>
        <v>0.1966361375682113</v>
      </c>
      <c r="H34" s="1362">
        <f>(B34*12/(F34-D34))</f>
        <v>8648.9578400611717</v>
      </c>
      <c r="J34" s="1363">
        <f>B34/B12-1</f>
        <v>2.4089225224626043</v>
      </c>
      <c r="K34" s="1363">
        <f>D34/D12-1</f>
        <v>-0.56064963469682172</v>
      </c>
      <c r="L34" s="1363">
        <f>F34/F12-1</f>
        <v>0.44386757750919581</v>
      </c>
      <c r="N34" s="1363">
        <v>0.32037262049412729</v>
      </c>
      <c r="O34" s="1318"/>
      <c r="P34" s="1318"/>
      <c r="Q34" s="1318"/>
    </row>
    <row r="35" spans="1:17" s="1317" customFormat="1" ht="21.75" customHeight="1">
      <c r="A35" s="1348" t="s">
        <v>449</v>
      </c>
      <c r="B35" s="1360">
        <v>133702.84</v>
      </c>
      <c r="C35" s="1361">
        <f t="shared" si="1"/>
        <v>0.14685840382316884</v>
      </c>
      <c r="D35" s="1360">
        <v>150</v>
      </c>
      <c r="E35" s="1361">
        <f t="shared" si="1"/>
        <v>-7.8057775046097011E-2</v>
      </c>
      <c r="F35" s="1360">
        <v>437.28</v>
      </c>
      <c r="G35" s="1361">
        <f>F35/F24-1</f>
        <v>0.15001051967178625</v>
      </c>
      <c r="H35" s="1362">
        <f>(B35*12/(F35-D35))</f>
        <v>5584.9139515455308</v>
      </c>
      <c r="J35" s="1352"/>
      <c r="K35" s="1352"/>
      <c r="L35" s="1352"/>
      <c r="N35" s="1363">
        <v>-0.3810225120976225</v>
      </c>
      <c r="O35" s="1318"/>
      <c r="P35" s="1318"/>
      <c r="Q35" s="1318"/>
    </row>
    <row r="37" spans="1:17">
      <c r="A37" s="1313" t="s">
        <v>730</v>
      </c>
      <c r="B37" s="1314"/>
      <c r="C37" s="1315"/>
      <c r="D37" s="1314"/>
      <c r="E37" s="1314"/>
      <c r="F37" s="1316"/>
      <c r="G37" s="1314"/>
    </row>
    <row r="38" spans="1:17" ht="18.75" customHeight="1">
      <c r="A38" s="3018" t="s">
        <v>1238</v>
      </c>
      <c r="B38" s="1319" t="s">
        <v>1239</v>
      </c>
      <c r="C38" s="1320"/>
      <c r="D38" s="1319"/>
      <c r="E38" s="1319"/>
      <c r="F38" s="1319" t="s">
        <v>1240</v>
      </c>
      <c r="G38" s="1319"/>
      <c r="H38" s="3018" t="s">
        <v>336</v>
      </c>
    </row>
    <row r="39" spans="1:17" ht="66">
      <c r="A39" s="3019"/>
      <c r="B39" s="1322" t="s">
        <v>338</v>
      </c>
      <c r="C39" s="1323" t="s">
        <v>1241</v>
      </c>
      <c r="D39" s="1322" t="s">
        <v>385</v>
      </c>
      <c r="E39" s="1324" t="s">
        <v>1241</v>
      </c>
      <c r="F39" s="1325" t="s">
        <v>340</v>
      </c>
      <c r="G39" s="1324" t="s">
        <v>1241</v>
      </c>
      <c r="H39" s="3020"/>
    </row>
    <row r="40" spans="1:17" ht="15.6">
      <c r="A40" s="3019"/>
      <c r="B40" s="1326" t="s">
        <v>1242</v>
      </c>
      <c r="C40" s="1327" t="s">
        <v>87</v>
      </c>
      <c r="D40" s="1326" t="s">
        <v>1243</v>
      </c>
      <c r="E40" s="1328" t="s">
        <v>87</v>
      </c>
      <c r="F40" s="1325"/>
      <c r="G40" s="1364"/>
      <c r="H40" s="1326" t="s">
        <v>450</v>
      </c>
    </row>
    <row r="41" spans="1:17">
      <c r="A41" s="3020"/>
      <c r="B41" s="1325" t="s">
        <v>99</v>
      </c>
      <c r="C41" s="1327"/>
      <c r="D41" s="1325" t="s">
        <v>344</v>
      </c>
      <c r="E41" s="1328"/>
      <c r="F41" s="1325" t="s">
        <v>344</v>
      </c>
      <c r="G41" s="1328" t="s">
        <v>87</v>
      </c>
      <c r="H41" s="1325" t="s">
        <v>1244</v>
      </c>
    </row>
    <row r="42" spans="1:17">
      <c r="A42" s="1331" t="s">
        <v>292</v>
      </c>
      <c r="B42" s="1332">
        <v>427956.36</v>
      </c>
      <c r="C42" s="1330">
        <f>B42/B31-1</f>
        <v>0.17414103305261452</v>
      </c>
      <c r="D42" s="1332">
        <v>179.28</v>
      </c>
      <c r="E42" s="1330">
        <f>D42/D31-1</f>
        <v>0.18446088794925997</v>
      </c>
      <c r="F42" s="1332">
        <v>789.41</v>
      </c>
      <c r="G42" s="1330">
        <f>F42/F31-1</f>
        <v>0.17646795827123696</v>
      </c>
      <c r="H42" s="1333">
        <f>(B42*12/(F42-D42))</f>
        <v>8417.0198482290671</v>
      </c>
    </row>
    <row r="43" spans="1:17">
      <c r="A43" s="1331" t="s">
        <v>276</v>
      </c>
      <c r="B43" s="1332">
        <v>781756.21</v>
      </c>
      <c r="C43" s="1330">
        <f t="shared" ref="C43:E46" si="2">B43/B32-1</f>
        <v>0.14228188072445058</v>
      </c>
      <c r="D43" s="1332">
        <v>191.71</v>
      </c>
      <c r="E43" s="1330">
        <f t="shared" si="2"/>
        <v>0.18251912163829265</v>
      </c>
      <c r="F43" s="1332">
        <v>1324.32</v>
      </c>
      <c r="G43" s="1330">
        <f>F43/F32-1</f>
        <v>0.14793914965544119</v>
      </c>
      <c r="H43" s="1333">
        <f>(B43*12/(F43-D43))</f>
        <v>8282.7050087850184</v>
      </c>
    </row>
    <row r="44" spans="1:17">
      <c r="A44" s="1331" t="s">
        <v>348</v>
      </c>
      <c r="B44" s="1332">
        <v>1110334.72</v>
      </c>
      <c r="C44" s="1330">
        <f t="shared" si="2"/>
        <v>0.17751383919929276</v>
      </c>
      <c r="D44" s="1332">
        <v>469.5</v>
      </c>
      <c r="E44" s="1330">
        <f t="shared" si="2"/>
        <v>0.13361985706007329</v>
      </c>
      <c r="F44" s="1332">
        <v>2146.56</v>
      </c>
      <c r="G44" s="1330">
        <f>F44/F33-1</f>
        <v>0.16212441123923993</v>
      </c>
      <c r="H44" s="1333">
        <f>(B44*12/(F44-D44))</f>
        <v>7944.8658008658012</v>
      </c>
    </row>
    <row r="45" spans="1:17">
      <c r="A45" s="1331" t="s">
        <v>280</v>
      </c>
      <c r="B45" s="1332">
        <v>2019526.48</v>
      </c>
      <c r="C45" s="1330">
        <f t="shared" si="2"/>
        <v>0.23130962947961575</v>
      </c>
      <c r="D45" s="1332">
        <v>535.79999999999995</v>
      </c>
      <c r="E45" s="1330">
        <f t="shared" si="2"/>
        <v>0.13502520865991596</v>
      </c>
      <c r="F45" s="1332">
        <v>3325.91</v>
      </c>
      <c r="G45" s="1330">
        <f>F45/F34-1</f>
        <v>0.21044299190589877</v>
      </c>
      <c r="H45" s="1333">
        <f>(B45*12/(F45-D45))</f>
        <v>8685.7929472314718</v>
      </c>
    </row>
    <row r="46" spans="1:17" ht="27">
      <c r="A46" s="1331" t="s">
        <v>449</v>
      </c>
      <c r="B46" s="1332">
        <v>22308.959999999999</v>
      </c>
      <c r="C46" s="1330">
        <f t="shared" si="2"/>
        <v>-0.83314520469423092</v>
      </c>
      <c r="D46" s="1332">
        <v>210.28899999999999</v>
      </c>
      <c r="E46" s="1330">
        <f t="shared" si="2"/>
        <v>0.40192666666666654</v>
      </c>
      <c r="F46" s="1332">
        <v>258.20999999999998</v>
      </c>
      <c r="G46" s="1330">
        <f>F46/F35-1</f>
        <v>-0.40950878155872672</v>
      </c>
      <c r="H46" s="1333">
        <f>(B46*12/(F46-D46))</f>
        <v>5586.4343398510064</v>
      </c>
    </row>
    <row r="48" spans="1:17">
      <c r="A48" s="1313" t="s">
        <v>1252</v>
      </c>
      <c r="B48" s="1314"/>
      <c r="C48" s="1315"/>
      <c r="D48" s="1314"/>
      <c r="E48" s="1314"/>
      <c r="F48" s="1316"/>
      <c r="G48" s="1314"/>
    </row>
    <row r="49" spans="1:8" ht="18.75" customHeight="1">
      <c r="A49" s="3018" t="s">
        <v>1238</v>
      </c>
      <c r="B49" s="1319" t="s">
        <v>1239</v>
      </c>
      <c r="C49" s="1320"/>
      <c r="D49" s="1319"/>
      <c r="E49" s="1319"/>
      <c r="F49" s="1319" t="s">
        <v>1240</v>
      </c>
      <c r="G49" s="1319"/>
      <c r="H49" s="3018" t="s">
        <v>336</v>
      </c>
    </row>
    <row r="50" spans="1:8" ht="66">
      <c r="A50" s="3019"/>
      <c r="B50" s="1322" t="s">
        <v>338</v>
      </c>
      <c r="C50" s="1323" t="s">
        <v>1241</v>
      </c>
      <c r="D50" s="1322" t="s">
        <v>385</v>
      </c>
      <c r="E50" s="1324" t="s">
        <v>1241</v>
      </c>
      <c r="F50" s="1325" t="s">
        <v>340</v>
      </c>
      <c r="G50" s="1324" t="s">
        <v>1241</v>
      </c>
      <c r="H50" s="3020"/>
    </row>
    <row r="51" spans="1:8" ht="15.6">
      <c r="A51" s="3019"/>
      <c r="B51" s="1326" t="s">
        <v>1242</v>
      </c>
      <c r="C51" s="1327" t="s">
        <v>87</v>
      </c>
      <c r="D51" s="1326" t="s">
        <v>1243</v>
      </c>
      <c r="E51" s="1328" t="s">
        <v>87</v>
      </c>
      <c r="F51" s="1325"/>
      <c r="G51" s="1364"/>
      <c r="H51" s="1326" t="s">
        <v>450</v>
      </c>
    </row>
    <row r="52" spans="1:8">
      <c r="A52" s="3020"/>
      <c r="B52" s="1325" t="s">
        <v>99</v>
      </c>
      <c r="C52" s="1327"/>
      <c r="D52" s="1325" t="s">
        <v>344</v>
      </c>
      <c r="E52" s="1328"/>
      <c r="F52" s="1325" t="s">
        <v>344</v>
      </c>
      <c r="G52" s="1328" t="s">
        <v>87</v>
      </c>
      <c r="H52" s="1325" t="s">
        <v>1244</v>
      </c>
    </row>
    <row r="53" spans="1:8">
      <c r="A53" s="1331" t="s">
        <v>292</v>
      </c>
      <c r="B53" s="1332">
        <v>465350.61</v>
      </c>
      <c r="C53" s="1330">
        <f>B53/B42-1</f>
        <v>8.7378652346701946E-2</v>
      </c>
      <c r="D53" s="1332">
        <v>194.95</v>
      </c>
      <c r="E53" s="1330">
        <f>D53/D42-1</f>
        <v>8.740517626059785E-2</v>
      </c>
      <c r="F53" s="1332">
        <v>858.39</v>
      </c>
      <c r="G53" s="1330">
        <f>F53/F42-1</f>
        <v>8.7381715458380249E-2</v>
      </c>
      <c r="H53" s="1333">
        <f>(B53*12/(F53-D53))</f>
        <v>8417.0494995779572</v>
      </c>
    </row>
    <row r="54" spans="1:8">
      <c r="A54" s="1331" t="s">
        <v>276</v>
      </c>
      <c r="B54" s="1332">
        <v>850350.61</v>
      </c>
      <c r="C54" s="1330">
        <f>B54/B43-1</f>
        <v>8.7743978394491995E-2</v>
      </c>
      <c r="D54" s="1332">
        <v>208.46</v>
      </c>
      <c r="E54" s="1330">
        <f>D54/D43-1</f>
        <v>8.7371550779823615E-2</v>
      </c>
      <c r="F54" s="1332">
        <v>1440.03</v>
      </c>
      <c r="G54" s="1330">
        <f>F54/F43-1</f>
        <v>8.7373142442914054E-2</v>
      </c>
      <c r="H54" s="1333">
        <f>(B54*12/(F54-D54))</f>
        <v>8285.5276760557663</v>
      </c>
    </row>
    <row r="55" spans="1:8">
      <c r="A55" s="1331" t="s">
        <v>348</v>
      </c>
      <c r="B55" s="1332">
        <v>1207354.26</v>
      </c>
      <c r="C55" s="1330">
        <f>B55/B44-1</f>
        <v>8.7378642000855322E-2</v>
      </c>
      <c r="D55" s="1332">
        <v>519.6</v>
      </c>
      <c r="E55" s="1330">
        <f>D55/D44-1</f>
        <v>0.10670926517571888</v>
      </c>
      <c r="F55" s="1332">
        <v>2334.12</v>
      </c>
      <c r="G55" s="1330">
        <f>F55/F44-1</f>
        <v>8.7377012522361408E-2</v>
      </c>
      <c r="H55" s="1333">
        <f>(B55*12/(F55-D55))</f>
        <v>7984.6191389458372</v>
      </c>
    </row>
    <row r="56" spans="1:8">
      <c r="A56" s="1331" t="s">
        <v>280</v>
      </c>
      <c r="B56" s="1332">
        <v>2195989.96</v>
      </c>
      <c r="C56" s="1330">
        <f>B56/B45-1</f>
        <v>8.7378641353590858E-2</v>
      </c>
      <c r="D56" s="1332">
        <v>593.1</v>
      </c>
      <c r="E56" s="1330">
        <f>D56/D45-1</f>
        <v>0.1069428891377382</v>
      </c>
      <c r="F56" s="1332">
        <v>3616.52</v>
      </c>
      <c r="G56" s="1330">
        <f>F56/F45-1</f>
        <v>8.7377589892690954E-2</v>
      </c>
      <c r="H56" s="1333">
        <f>(B56*12/(F56-D56))</f>
        <v>8715.917576783906</v>
      </c>
    </row>
    <row r="57" spans="1:8" ht="27">
      <c r="A57" s="1331" t="s">
        <v>449</v>
      </c>
      <c r="B57" s="1332">
        <v>24258.29</v>
      </c>
      <c r="C57" s="1330">
        <f>B57/B46-1</f>
        <v>8.7378793094792462E-2</v>
      </c>
      <c r="D57" s="1332">
        <v>228.65</v>
      </c>
      <c r="E57" s="1330">
        <f>D57/D46-1</f>
        <v>8.7313173775138031E-2</v>
      </c>
      <c r="F57" s="1332">
        <v>280.77</v>
      </c>
      <c r="G57" s="1330">
        <f>F57/F46-1</f>
        <v>8.7370744742651274E-2</v>
      </c>
      <c r="H57" s="1333">
        <f>(B57*12/(F57-D57))</f>
        <v>5585.1780506523428</v>
      </c>
    </row>
    <row r="60" spans="1:8">
      <c r="A60" s="1313" t="s">
        <v>1253</v>
      </c>
      <c r="B60" s="1314"/>
      <c r="C60" s="1315"/>
      <c r="D60" s="1314"/>
      <c r="E60" s="1314"/>
      <c r="F60" s="1316"/>
      <c r="G60" s="1314"/>
    </row>
    <row r="61" spans="1:8" ht="18.75" customHeight="1">
      <c r="A61" s="3018" t="s">
        <v>1238</v>
      </c>
      <c r="B61" s="1319" t="s">
        <v>1239</v>
      </c>
      <c r="C61" s="1320"/>
      <c r="D61" s="1319"/>
      <c r="E61" s="1319"/>
      <c r="F61" s="1319" t="s">
        <v>1240</v>
      </c>
      <c r="G61" s="1319"/>
      <c r="H61" s="3018" t="s">
        <v>336</v>
      </c>
    </row>
    <row r="62" spans="1:8" ht="66">
      <c r="A62" s="3019"/>
      <c r="B62" s="1322" t="s">
        <v>338</v>
      </c>
      <c r="C62" s="1323" t="s">
        <v>1241</v>
      </c>
      <c r="D62" s="1322" t="s">
        <v>385</v>
      </c>
      <c r="E62" s="1324" t="s">
        <v>1241</v>
      </c>
      <c r="F62" s="1325" t="s">
        <v>340</v>
      </c>
      <c r="G62" s="1324" t="s">
        <v>1241</v>
      </c>
      <c r="H62" s="3020"/>
    </row>
    <row r="63" spans="1:8" ht="15.6">
      <c r="A63" s="3019"/>
      <c r="B63" s="1326" t="s">
        <v>1242</v>
      </c>
      <c r="C63" s="1327" t="s">
        <v>87</v>
      </c>
      <c r="D63" s="1326" t="s">
        <v>1243</v>
      </c>
      <c r="E63" s="1328" t="s">
        <v>87</v>
      </c>
      <c r="F63" s="1325"/>
      <c r="G63" s="1364"/>
      <c r="H63" s="1326" t="s">
        <v>450</v>
      </c>
    </row>
    <row r="64" spans="1:8">
      <c r="A64" s="3020"/>
      <c r="B64" s="1325" t="s">
        <v>99</v>
      </c>
      <c r="C64" s="1327"/>
      <c r="D64" s="1325" t="s">
        <v>344</v>
      </c>
      <c r="E64" s="1328"/>
      <c r="F64" s="1325" t="s">
        <v>344</v>
      </c>
      <c r="G64" s="1328" t="s">
        <v>87</v>
      </c>
      <c r="H64" s="1325" t="s">
        <v>1244</v>
      </c>
    </row>
    <row r="65" spans="1:8">
      <c r="A65" s="1331" t="s">
        <v>292</v>
      </c>
      <c r="B65" s="1332">
        <v>556235.52000000002</v>
      </c>
      <c r="C65" s="1330">
        <f>B65/B53-1</f>
        <v>0.19530416001818507</v>
      </c>
      <c r="D65" s="1332">
        <v>233.02</v>
      </c>
      <c r="E65" s="1330">
        <f>D65/D53-1</f>
        <v>0.19528084124134404</v>
      </c>
      <c r="F65" s="1332">
        <v>1026.03</v>
      </c>
      <c r="G65" s="1330">
        <f>F65/F53-1</f>
        <v>0.1952958445461852</v>
      </c>
      <c r="H65" s="1333">
        <f>(B65*12/(F65-D65))</f>
        <v>8417.0770103781797</v>
      </c>
    </row>
    <row r="66" spans="1:8">
      <c r="A66" s="1331" t="s">
        <v>276</v>
      </c>
      <c r="B66" s="1332">
        <v>1016086.23</v>
      </c>
      <c r="C66" s="1330">
        <f>B66/B54-1</f>
        <v>0.19490268843342151</v>
      </c>
      <c r="D66" s="1332">
        <v>249.17</v>
      </c>
      <c r="E66" s="1330">
        <f>D66/D54-1</f>
        <v>0.19528926412741043</v>
      </c>
      <c r="F66" s="1332">
        <v>1721.28</v>
      </c>
      <c r="G66" s="1330">
        <f>F66/F54-1</f>
        <v>0.1953084310743527</v>
      </c>
      <c r="H66" s="1333">
        <f>(B66*12/(F66-D66))</f>
        <v>8282.69270638743</v>
      </c>
    </row>
    <row r="67" spans="1:8">
      <c r="A67" s="1331" t="s">
        <v>348</v>
      </c>
      <c r="B67" s="1332">
        <v>1443155.57</v>
      </c>
      <c r="C67" s="1330">
        <f>B67/B55-1</f>
        <v>0.19530416035472475</v>
      </c>
      <c r="D67" s="1332">
        <v>600.1</v>
      </c>
      <c r="E67" s="1330">
        <f>D67/D55-1</f>
        <v>0.15492686682063117</v>
      </c>
      <c r="F67" s="1332">
        <v>2789.99</v>
      </c>
      <c r="G67" s="1330">
        <f>F67/F55-1</f>
        <v>0.19530701077922297</v>
      </c>
      <c r="H67" s="1333">
        <f>(B67*12/(F67-D67))</f>
        <v>7908.0989638748979</v>
      </c>
    </row>
    <row r="68" spans="1:8">
      <c r="A68" s="1331" t="s">
        <v>280</v>
      </c>
      <c r="B68" s="1332">
        <v>2624875.9300000002</v>
      </c>
      <c r="C68" s="1330">
        <f>B68/B56-1</f>
        <v>0.19530415794797173</v>
      </c>
      <c r="D68" s="1332">
        <v>684.4</v>
      </c>
      <c r="E68" s="1330">
        <f>D68/D56-1</f>
        <v>0.15393694149384585</v>
      </c>
      <c r="F68" s="1332">
        <v>4322.84</v>
      </c>
      <c r="G68" s="1330">
        <f>F68/F56-1</f>
        <v>0.19530377268755594</v>
      </c>
      <c r="H68" s="1333">
        <f>(B68*12/(F68-D68))</f>
        <v>8657.1473378700775</v>
      </c>
    </row>
    <row r="69" spans="1:8" ht="27">
      <c r="A69" s="1331" t="s">
        <v>449</v>
      </c>
      <c r="B69" s="1332">
        <v>28996.04</v>
      </c>
      <c r="C69" s="1330">
        <f>B69/B57-1</f>
        <v>0.19530436811498264</v>
      </c>
      <c r="D69" s="1332">
        <v>273.31</v>
      </c>
      <c r="E69" s="1330">
        <f>D69/D57-1</f>
        <v>0.19532035862672203</v>
      </c>
      <c r="F69" s="1332">
        <v>335.61</v>
      </c>
      <c r="G69" s="1330">
        <f>F69/F57-1</f>
        <v>0.19532001282188283</v>
      </c>
      <c r="H69" s="1333">
        <f>(B69*12/(F69-D69))</f>
        <v>5585.1120385232734</v>
      </c>
    </row>
    <row r="72" spans="1:8">
      <c r="A72" s="1313" t="s">
        <v>1254</v>
      </c>
      <c r="B72" s="1314"/>
      <c r="C72" s="1315"/>
      <c r="D72" s="1314"/>
      <c r="E72" s="1314"/>
      <c r="F72" s="1316"/>
      <c r="G72" s="1314"/>
    </row>
    <row r="73" spans="1:8" ht="18.75" customHeight="1">
      <c r="A73" s="3018" t="s">
        <v>1238</v>
      </c>
      <c r="B73" s="1319" t="s">
        <v>1239</v>
      </c>
      <c r="C73" s="1320"/>
      <c r="D73" s="1319"/>
      <c r="E73" s="1319"/>
      <c r="F73" s="1319" t="s">
        <v>1240</v>
      </c>
      <c r="G73" s="1319"/>
      <c r="H73" s="3018" t="s">
        <v>336</v>
      </c>
    </row>
    <row r="74" spans="1:8" ht="66">
      <c r="A74" s="3019"/>
      <c r="B74" s="1322" t="s">
        <v>338</v>
      </c>
      <c r="C74" s="1323" t="s">
        <v>1241</v>
      </c>
      <c r="D74" s="1322" t="s">
        <v>385</v>
      </c>
      <c r="E74" s="1324" t="s">
        <v>1241</v>
      </c>
      <c r="F74" s="1325" t="s">
        <v>340</v>
      </c>
      <c r="G74" s="1324" t="s">
        <v>1241</v>
      </c>
      <c r="H74" s="3020"/>
    </row>
    <row r="75" spans="1:8" ht="15.6">
      <c r="A75" s="3019"/>
      <c r="B75" s="1326" t="s">
        <v>1242</v>
      </c>
      <c r="C75" s="1327" t="s">
        <v>87</v>
      </c>
      <c r="D75" s="1326" t="s">
        <v>1243</v>
      </c>
      <c r="E75" s="1328" t="s">
        <v>87</v>
      </c>
      <c r="F75" s="1325"/>
      <c r="G75" s="1364"/>
      <c r="H75" s="1326" t="s">
        <v>450</v>
      </c>
    </row>
    <row r="76" spans="1:8">
      <c r="A76" s="3020"/>
      <c r="B76" s="1325" t="s">
        <v>99</v>
      </c>
      <c r="C76" s="1327"/>
      <c r="D76" s="1325" t="s">
        <v>344</v>
      </c>
      <c r="E76" s="1328"/>
      <c r="F76" s="1325" t="s">
        <v>344</v>
      </c>
      <c r="G76" s="1328" t="s">
        <v>87</v>
      </c>
      <c r="H76" s="1325" t="s">
        <v>1244</v>
      </c>
    </row>
    <row r="77" spans="1:8">
      <c r="A77" s="1331" t="s">
        <v>292</v>
      </c>
      <c r="B77" s="1332">
        <v>604838.62</v>
      </c>
      <c r="C77" s="1330">
        <f>B77/B65-1</f>
        <v>8.7378634144040346E-2</v>
      </c>
      <c r="D77" s="1332">
        <v>253.38</v>
      </c>
      <c r="E77" s="1330">
        <f>D77/D65-1</f>
        <v>8.7374474294051874E-2</v>
      </c>
      <c r="F77" s="1332">
        <v>1115.69</v>
      </c>
      <c r="G77" s="1330">
        <f>F77/F65-1</f>
        <v>8.73853591025604E-2</v>
      </c>
      <c r="H77" s="1333">
        <f>(B77*12/(F77-D77))</f>
        <v>8417.0001971448764</v>
      </c>
    </row>
    <row r="78" spans="1:8">
      <c r="A78" s="1331" t="s">
        <v>276</v>
      </c>
      <c r="B78" s="1332">
        <v>1104870.47</v>
      </c>
      <c r="C78" s="1330">
        <f>B78/B66-1</f>
        <v>8.7378646987470665E-2</v>
      </c>
      <c r="D78" s="1332">
        <v>270.94</v>
      </c>
      <c r="E78" s="1330">
        <f>D78/D66-1</f>
        <v>8.7370068627844466E-2</v>
      </c>
      <c r="F78" s="1332">
        <v>1871.68</v>
      </c>
      <c r="G78" s="1330">
        <f>F78/F66-1</f>
        <v>8.7376835843093525E-2</v>
      </c>
      <c r="H78" s="1333">
        <f>(B78*12/(F78-D78))</f>
        <v>8282.6977772780101</v>
      </c>
    </row>
    <row r="79" spans="1:8">
      <c r="A79" s="1331" t="s">
        <v>348</v>
      </c>
      <c r="B79" s="1332">
        <v>1569256.54</v>
      </c>
      <c r="C79" s="1330">
        <f>B79/B67-1</f>
        <v>8.7378639296662897E-2</v>
      </c>
      <c r="D79" s="1332">
        <v>664.1</v>
      </c>
      <c r="E79" s="1330">
        <f>D79/D67-1</f>
        <v>0.10664889185135817</v>
      </c>
      <c r="F79" s="1332">
        <v>3033.77</v>
      </c>
      <c r="G79" s="1330">
        <f>F79/F67-1</f>
        <v>8.7376657264004676E-2</v>
      </c>
      <c r="H79" s="1333">
        <f>(B79*12/(F79-D79))</f>
        <v>7946.7092379951637</v>
      </c>
    </row>
    <row r="80" spans="1:8">
      <c r="A80" s="1331" t="s">
        <v>280</v>
      </c>
      <c r="B80" s="1332">
        <v>2854234.03</v>
      </c>
      <c r="C80" s="1330">
        <f>B80/B68-1</f>
        <v>8.7378644216528523E-2</v>
      </c>
      <c r="D80" s="1332">
        <v>757.5</v>
      </c>
      <c r="E80" s="1330">
        <f>D80/D68-1</f>
        <v>0.10680888369374641</v>
      </c>
      <c r="F80" s="1332">
        <v>4700.57</v>
      </c>
      <c r="G80" s="1330">
        <f>F80/F68-1</f>
        <v>8.7380055704120441E-2</v>
      </c>
      <c r="H80" s="1333">
        <f>(B80*12/(F80-D80))</f>
        <v>8686.3302857925428</v>
      </c>
    </row>
    <row r="81" spans="1:8" ht="27">
      <c r="A81" s="1331" t="s">
        <v>449</v>
      </c>
      <c r="B81" s="1332">
        <v>31529.67</v>
      </c>
      <c r="C81" s="1330">
        <f>B81/B69-1</f>
        <v>8.7378483406699514E-2</v>
      </c>
      <c r="D81" s="1332">
        <v>297.19</v>
      </c>
      <c r="E81" s="1330">
        <f>D81/D69-1</f>
        <v>8.737331235593282E-2</v>
      </c>
      <c r="F81" s="1332">
        <v>364.93</v>
      </c>
      <c r="G81" s="1330">
        <f>F81/F69-1</f>
        <v>8.7363308602246725E-2</v>
      </c>
      <c r="H81" s="1333">
        <f>(B81*12/(F81-D81))</f>
        <v>5585.4154118689094</v>
      </c>
    </row>
  </sheetData>
  <mergeCells count="14">
    <mergeCell ref="A5:A8"/>
    <mergeCell ref="H5:H6"/>
    <mergeCell ref="A16:A19"/>
    <mergeCell ref="H16:H17"/>
    <mergeCell ref="A27:A30"/>
    <mergeCell ref="H27:H28"/>
    <mergeCell ref="A73:A76"/>
    <mergeCell ref="H73:H74"/>
    <mergeCell ref="A38:A41"/>
    <mergeCell ref="H38:H39"/>
    <mergeCell ref="A49:A52"/>
    <mergeCell ref="H49:H50"/>
    <mergeCell ref="A61:A64"/>
    <mergeCell ref="H61:H6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&amp;R&amp;8&amp;P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8">
    <tabColor rgb="FFC00000"/>
  </sheetPr>
  <dimension ref="A1:S67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9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1255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1365" t="s">
        <v>1258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395</v>
      </c>
      <c r="J16" s="255"/>
      <c r="K16" s="256"/>
      <c r="L16" s="649" t="s">
        <v>713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17.399999999999999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 t="e">
        <f>'НВВ на содержание'!E8</f>
        <v>#REF!</v>
      </c>
      <c r="J19" s="285" t="e">
        <f>E40*E41/1000</f>
        <v>#REF!</v>
      </c>
      <c r="K19" s="286" t="e">
        <f>ROUND((I19+J19),1)</f>
        <v>#REF!</v>
      </c>
      <c r="L19" s="287"/>
      <c r="M19" s="288"/>
      <c r="N19" s="289">
        <f>N23-N31+N34</f>
        <v>18273.302489170001</v>
      </c>
      <c r="O19" s="276" t="e">
        <f>$E$40*$E$41/1000</f>
        <v>#REF!</v>
      </c>
      <c r="Q19" s="1294">
        <f>N23+K34-N32-K33</f>
        <v>18194.355542899997</v>
      </c>
      <c r="R19" s="1296"/>
      <c r="S19" s="1297"/>
    </row>
    <row r="20" spans="1:19" ht="16.2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I23+I34-I31</f>
        <v>14460.758379855997</v>
      </c>
      <c r="J20" s="294">
        <f>ROUND((J23+J34-J31),1)</f>
        <v>4048.8</v>
      </c>
      <c r="K20" s="286">
        <f>ROUND((I20+J20),1)</f>
        <v>18509.599999999999</v>
      </c>
      <c r="L20" s="295"/>
      <c r="M20" s="211"/>
      <c r="N20" s="296"/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 t="e">
        <f>K19-K20</f>
        <v>#REF!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11262.331290095999</v>
      </c>
      <c r="J23" s="321">
        <f>SUM(J25:J29)</f>
        <v>3136.3882511699999</v>
      </c>
      <c r="K23" s="322">
        <f>I23+J23</f>
        <v>14398.719541265998</v>
      </c>
      <c r="L23" s="295"/>
      <c r="M23" s="211"/>
      <c r="N23" s="322">
        <f>SUM(N25:N29)</f>
        <v>14090</v>
      </c>
      <c r="O23" s="609">
        <f>N23-K23</f>
        <v>-308.71954126599849</v>
      </c>
      <c r="P23" s="623">
        <f>N19-K20</f>
        <v>-236.29751082999792</v>
      </c>
    </row>
    <row r="24" spans="1:19" ht="27.75" customHeight="1">
      <c r="A24" s="282"/>
      <c r="B24" s="280" t="s">
        <v>414</v>
      </c>
      <c r="C24" s="605" t="s">
        <v>715</v>
      </c>
      <c r="D24" s="1303">
        <f>SUM(D25:D29)</f>
        <v>1.2511000000000001</v>
      </c>
      <c r="E24" s="1304">
        <f>SUM(E25:E29)</f>
        <v>9842.4600000000009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8189.3585280954758</v>
      </c>
      <c r="D25" s="1366">
        <v>0.60329999999999995</v>
      </c>
      <c r="E25" s="1367">
        <v>4940.6400000000003</v>
      </c>
      <c r="F25" s="325">
        <f>E62</f>
        <v>427956.36</v>
      </c>
      <c r="G25" s="326">
        <f>'изм.приказ 27 от 28.04.2011'!D42</f>
        <v>179.28</v>
      </c>
      <c r="H25" s="327">
        <f>'изм.приказ 27 от 28.04.2011'!F42</f>
        <v>789.41</v>
      </c>
      <c r="I25" s="556">
        <f>D25*F25*12/1000</f>
        <v>3098.2328638559998</v>
      </c>
      <c r="J25" s="556">
        <f>E25*G25/1000</f>
        <v>885.75793920000001</v>
      </c>
      <c r="K25" s="557">
        <f>I25+J25</f>
        <v>3983.990803056</v>
      </c>
      <c r="L25" s="1286"/>
      <c r="M25" s="556"/>
      <c r="N25" s="557">
        <f>ROUND((E25*H25/1000),1)</f>
        <v>3900.2</v>
      </c>
      <c r="O25" s="1375">
        <f>'2012г.об.под факт2010'!N23-'2012г.об.по стр-ре СЭ'!N23</f>
        <v>1460.7999999999993</v>
      </c>
    </row>
    <row r="26" spans="1:19">
      <c r="A26" s="290"/>
      <c r="B26" s="324" t="s">
        <v>415</v>
      </c>
      <c r="C26" s="1299">
        <f>E26/D26</f>
        <v>7745.3907815631255</v>
      </c>
      <c r="D26" s="1303">
        <v>0.5988</v>
      </c>
      <c r="E26" s="1367">
        <v>4637.9399999999996</v>
      </c>
      <c r="F26" s="325">
        <f>E64</f>
        <v>1110334.72</v>
      </c>
      <c r="G26" s="326">
        <f>'изм.приказ 27 от 28.04.2011'!D44</f>
        <v>469.5</v>
      </c>
      <c r="H26" s="327">
        <f>'изм.приказ 27 от 28.04.2011'!F44</f>
        <v>2146.56</v>
      </c>
      <c r="I26" s="556">
        <f>D26*F26*12/1000</f>
        <v>7978.4211640319991</v>
      </c>
      <c r="J26" s="556">
        <f>E26*G26/1000</f>
        <v>2177.5128299999997</v>
      </c>
      <c r="K26" s="557">
        <f>I26+J26</f>
        <v>10155.933994031999</v>
      </c>
      <c r="L26" s="1286"/>
      <c r="M26" s="556"/>
      <c r="N26" s="557">
        <f>ROUND((E26*H26/1000),1)</f>
        <v>9955.6</v>
      </c>
      <c r="O26" s="1376" t="s">
        <v>1257</v>
      </c>
    </row>
    <row r="27" spans="1:19">
      <c r="A27" s="290"/>
      <c r="B27" s="328" t="s">
        <v>1226</v>
      </c>
      <c r="C27" s="1299">
        <f>E27/D27</f>
        <v>7520.833333333333</v>
      </c>
      <c r="D27" s="1303">
        <v>7.1999999999999998E-3</v>
      </c>
      <c r="E27" s="1304">
        <v>54.15</v>
      </c>
      <c r="F27" s="325">
        <f>'изм.приказ 27 от 28.04.2011'!B45</f>
        <v>2019526.48</v>
      </c>
      <c r="G27" s="326">
        <f>'изм.приказ 27 от 28.04.2011'!D45</f>
        <v>535.79999999999995</v>
      </c>
      <c r="H27" s="327">
        <f>'изм.приказ 27 от 28.04.2011'!F45</f>
        <v>3325.91</v>
      </c>
      <c r="I27" s="556">
        <f>D27*F27*12/1000</f>
        <v>174.48708787200002</v>
      </c>
      <c r="J27" s="556">
        <f>E27*G27/1000</f>
        <v>29.013569999999994</v>
      </c>
      <c r="K27" s="557">
        <f>I27+J27</f>
        <v>203.500657872</v>
      </c>
      <c r="L27" s="1286"/>
      <c r="M27" s="556"/>
      <c r="N27" s="557">
        <f>ROUND((E27*H27/1000),1)</f>
        <v>180.1</v>
      </c>
    </row>
    <row r="28" spans="1:19" s="391" customFormat="1" ht="28.2">
      <c r="A28" s="290"/>
      <c r="B28" s="328" t="s">
        <v>1225</v>
      </c>
      <c r="C28" s="1299">
        <f>E28/D28</f>
        <v>4967.4418604651164</v>
      </c>
      <c r="D28" s="1303">
        <v>4.3E-3</v>
      </c>
      <c r="E28" s="1304">
        <v>21.36</v>
      </c>
      <c r="F28" s="325">
        <f>'изм.приказ 27 от 28.04.2011'!B46</f>
        <v>22308.959999999999</v>
      </c>
      <c r="G28" s="326">
        <f>'изм.приказ 27 от 28.04.2011'!D46</f>
        <v>210.28899999999999</v>
      </c>
      <c r="H28" s="327">
        <f>'изм.приказ 27 от 28.04.2011'!F46</f>
        <v>258.20999999999998</v>
      </c>
      <c r="I28" s="556">
        <f>D28*F28*12/1000</f>
        <v>1.1511423359999999</v>
      </c>
      <c r="J28" s="556">
        <f>E28*G28/1000</f>
        <v>4.49177304</v>
      </c>
      <c r="K28" s="557">
        <f>I28+J28</f>
        <v>5.6429153759999995</v>
      </c>
      <c r="L28" s="1286"/>
      <c r="M28" s="556"/>
      <c r="N28" s="557">
        <f>ROUND((E28*H28/1000),1)</f>
        <v>5.5</v>
      </c>
    </row>
    <row r="29" spans="1:19" s="391" customFormat="1" ht="28.8" thickBot="1">
      <c r="A29" s="401"/>
      <c r="B29" s="328" t="s">
        <v>416</v>
      </c>
      <c r="C29" s="627">
        <f>E29/D29</f>
        <v>5023.2000000000007</v>
      </c>
      <c r="D29" s="1368">
        <v>3.7499999999999999E-2</v>
      </c>
      <c r="E29" s="1369">
        <v>188.37</v>
      </c>
      <c r="F29" s="405">
        <f>F28</f>
        <v>22308.959999999999</v>
      </c>
      <c r="G29" s="406">
        <f>G28</f>
        <v>210.28899999999999</v>
      </c>
      <c r="H29" s="407">
        <f>G66</f>
        <v>258.20999999999998</v>
      </c>
      <c r="I29" s="331">
        <f>D29*F29*12/1000</f>
        <v>10.039031999999999</v>
      </c>
      <c r="J29" s="332">
        <f>E29*G29/1000</f>
        <v>39.61213893</v>
      </c>
      <c r="K29" s="333">
        <f>I29+J29</f>
        <v>49.651170929999999</v>
      </c>
      <c r="L29" s="331"/>
      <c r="M29" s="1287"/>
      <c r="N29" s="333">
        <f>ROUND((E29*H29/1000),1)</f>
        <v>48.6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SUM(I32:I33)</f>
        <v>2325.3075864800003</v>
      </c>
      <c r="J31" s="556">
        <f>SUM(J32:J33)</f>
        <v>1689.7856701799999</v>
      </c>
      <c r="K31" s="1298">
        <f>SUM(K32:K33)</f>
        <v>4015.09325666</v>
      </c>
      <c r="L31" s="615">
        <f>SUM(L33:L33)</f>
        <v>0</v>
      </c>
      <c r="M31" s="465">
        <f>SUM(M33:M33)</f>
        <v>0</v>
      </c>
      <c r="N31" s="628">
        <f>SUM(N32:N33)</f>
        <v>3943.6471237199994</v>
      </c>
    </row>
    <row r="32" spans="1:19" ht="22.5" customHeight="1">
      <c r="A32" s="339">
        <v>1</v>
      </c>
      <c r="B32" s="280" t="s">
        <v>1231</v>
      </c>
      <c r="C32" s="626">
        <f>E32/D32</f>
        <v>7183.2162162162167</v>
      </c>
      <c r="D32" s="1380">
        <v>7.3999999999999996E-2</v>
      </c>
      <c r="E32" s="1292">
        <v>531.55799999999999</v>
      </c>
      <c r="F32" s="613">
        <v>279175.21000000002</v>
      </c>
      <c r="G32" s="614">
        <v>108.71</v>
      </c>
      <c r="H32" s="1293">
        <f>K32/E32*1000+12.17</f>
        <v>587.25918435993799</v>
      </c>
      <c r="I32" s="295">
        <f>$D32*$F32*12/1000</f>
        <v>247.90758647999999</v>
      </c>
      <c r="J32" s="211">
        <f>$E32*$G32/1000</f>
        <v>57.785670179999997</v>
      </c>
      <c r="K32" s="296">
        <f>I32+J32</f>
        <v>305.69325665999997</v>
      </c>
      <c r="L32" s="465"/>
      <c r="M32" s="465"/>
      <c r="N32" s="603">
        <f>E32*H32/1000</f>
        <v>312.16231751999993</v>
      </c>
    </row>
    <row r="33" spans="1:15" ht="22.5" customHeight="1" thickBot="1">
      <c r="A33" s="339">
        <v>1</v>
      </c>
      <c r="B33" s="280" t="s">
        <v>1232</v>
      </c>
      <c r="C33" s="626">
        <f>E33/D33</f>
        <v>8745.2795698924729</v>
      </c>
      <c r="D33" s="1378">
        <v>9.2999999999999999E-2</v>
      </c>
      <c r="E33" s="1282">
        <v>813.31100000000004</v>
      </c>
      <c r="F33" s="613">
        <v>1861465.03</v>
      </c>
      <c r="G33" s="614">
        <v>2006.61</v>
      </c>
      <c r="H33" s="1293">
        <f>K33/E33*1000-95.8</f>
        <v>4465.0629417283171</v>
      </c>
      <c r="I33" s="556">
        <f>ROUND(($D$33*$F$33*12/1000),1)</f>
        <v>2077.4</v>
      </c>
      <c r="J33" s="556">
        <f>ROUND(($E$33*$G$33/1000),1)</f>
        <v>1632</v>
      </c>
      <c r="K33" s="557">
        <f>I33+J33</f>
        <v>3709.4</v>
      </c>
      <c r="L33" s="465"/>
      <c r="M33" s="465"/>
      <c r="N33" s="603">
        <f>E33*H33/1000</f>
        <v>3631.4848061999996</v>
      </c>
    </row>
    <row r="34" spans="1:15" ht="47.4" thickBot="1">
      <c r="A34" s="637" t="s">
        <v>422</v>
      </c>
      <c r="B34" s="638" t="s">
        <v>1230</v>
      </c>
      <c r="C34" s="1302"/>
      <c r="D34" s="639"/>
      <c r="E34" s="640"/>
      <c r="F34" s="641" t="s">
        <v>420</v>
      </c>
      <c r="G34" s="642" t="s">
        <v>90</v>
      </c>
      <c r="H34" s="643" t="s">
        <v>90</v>
      </c>
      <c r="I34" s="644">
        <f>SUM(I35:I37)</f>
        <v>5523.7346762400002</v>
      </c>
      <c r="J34" s="645">
        <f>SUM(J35:J37)</f>
        <v>2602.1831841799999</v>
      </c>
      <c r="K34" s="646">
        <f>SUM(K35:K37)</f>
        <v>8125.9178604199997</v>
      </c>
      <c r="L34" s="647">
        <f>SUM(L36:L37)</f>
        <v>0</v>
      </c>
      <c r="M34" s="648">
        <f>SUM(M36:M37)</f>
        <v>0</v>
      </c>
      <c r="N34" s="646">
        <f>SUM(N35:N37)</f>
        <v>8126.94961289</v>
      </c>
    </row>
    <row r="35" spans="1:15">
      <c r="A35" s="629">
        <v>1</v>
      </c>
      <c r="B35" s="363" t="s">
        <v>421</v>
      </c>
      <c r="C35" s="630">
        <f>E35/D35</f>
        <v>7858.2769336227584</v>
      </c>
      <c r="D35" s="1377">
        <f>D24+D36+D37+D32+D33+G40</f>
        <v>4.3765000000000001</v>
      </c>
      <c r="E35" s="1288">
        <f>E24+E36+E37+E32+E33+E40</f>
        <v>34391.749000000003</v>
      </c>
      <c r="F35" s="631">
        <v>451.08</v>
      </c>
      <c r="G35" s="632">
        <v>0.82</v>
      </c>
      <c r="H35" s="1293">
        <f>K35/E35*1000+0.03</f>
        <v>1.5388227592030868</v>
      </c>
      <c r="I35" s="633">
        <f>$D$35*$F$35*12/1000</f>
        <v>23.689819440000001</v>
      </c>
      <c r="J35" s="634">
        <f>$E$35*$G$35/1000</f>
        <v>28.20123418</v>
      </c>
      <c r="K35" s="635">
        <f>I35+J35</f>
        <v>51.891053620000001</v>
      </c>
      <c r="L35" s="636"/>
      <c r="M35" s="634"/>
      <c r="N35" s="635">
        <f>E35*H35/1000</f>
        <v>52.922806090000009</v>
      </c>
    </row>
    <row r="36" spans="1:15">
      <c r="A36" s="364">
        <v>2</v>
      </c>
      <c r="B36" s="280" t="s">
        <v>447</v>
      </c>
      <c r="C36" s="626">
        <f>E36/D36</f>
        <v>7891.3725490196084</v>
      </c>
      <c r="D36" s="1378">
        <v>2.5499999999999998</v>
      </c>
      <c r="E36" s="606">
        <v>20123</v>
      </c>
      <c r="F36" s="616">
        <v>169906.8</v>
      </c>
      <c r="G36" s="617">
        <v>114.55</v>
      </c>
      <c r="H36" s="618">
        <f>K36/E36*1000</f>
        <v>372.91843810565024</v>
      </c>
      <c r="I36" s="295">
        <f>$D36*$F36*12/1000</f>
        <v>5199.1480799999999</v>
      </c>
      <c r="J36" s="211">
        <f>$E36*$G36/1000</f>
        <v>2305.0896499999999</v>
      </c>
      <c r="K36" s="296">
        <f>I36+J36</f>
        <v>7504.2377299999998</v>
      </c>
      <c r="L36" s="404"/>
      <c r="M36" s="211"/>
      <c r="N36" s="296">
        <f>E36*H36/1000</f>
        <v>7504.2377299999998</v>
      </c>
    </row>
    <row r="37" spans="1:15" ht="16.2" thickBot="1">
      <c r="A37" s="340">
        <v>3</v>
      </c>
      <c r="B37" s="292" t="s">
        <v>1233</v>
      </c>
      <c r="C37" s="627">
        <f>E37/D37</f>
        <v>6607.8431372549021</v>
      </c>
      <c r="D37" s="1379">
        <v>0.10199999999999999</v>
      </c>
      <c r="E37" s="607">
        <v>674</v>
      </c>
      <c r="F37" s="619">
        <v>245830.7</v>
      </c>
      <c r="G37" s="620">
        <v>398.95</v>
      </c>
      <c r="H37" s="621">
        <f>K37/E37*1000</f>
        <v>845.38438694362014</v>
      </c>
      <c r="I37" s="612">
        <f>$D$37*$F$37*12/1000</f>
        <v>300.8967768</v>
      </c>
      <c r="J37" s="611">
        <f>$E$37*$G$37/1000</f>
        <v>268.89229999999998</v>
      </c>
      <c r="K37" s="650">
        <f>I37+J37</f>
        <v>569.78907679999998</v>
      </c>
      <c r="L37" s="624"/>
      <c r="M37" s="625"/>
      <c r="N37" s="333">
        <f>E37*H37/1000</f>
        <v>569.78907679999998</v>
      </c>
    </row>
    <row r="38" spans="1:15" hidden="1">
      <c r="F38" s="94"/>
      <c r="G38" s="94"/>
      <c r="H38" s="94"/>
      <c r="L38" s="17"/>
      <c r="M38" s="17"/>
      <c r="N38" s="17"/>
    </row>
    <row r="39" spans="1:15">
      <c r="B39" s="52" t="s">
        <v>352</v>
      </c>
      <c r="C39" s="52"/>
      <c r="L39" s="17"/>
      <c r="M39" s="17"/>
      <c r="N39" s="17"/>
    </row>
    <row r="40" spans="1:15">
      <c r="D40" s="52" t="s">
        <v>1234</v>
      </c>
      <c r="E40" s="1374">
        <v>2407.42</v>
      </c>
      <c r="F40" s="17" t="s">
        <v>423</v>
      </c>
      <c r="G40" s="17">
        <v>0.30640000000000001</v>
      </c>
      <c r="H40" s="608">
        <f>E36+E37+E29+E40</f>
        <v>23392.79</v>
      </c>
      <c r="L40" s="17"/>
      <c r="M40" s="17"/>
      <c r="N40" s="17"/>
    </row>
    <row r="41" spans="1:15">
      <c r="D41" s="52" t="s">
        <v>424</v>
      </c>
      <c r="E41" s="341" t="e">
        <f>#REF!</f>
        <v>#REF!</v>
      </c>
      <c r="F41" s="17" t="s">
        <v>425</v>
      </c>
      <c r="L41" s="17"/>
      <c r="M41" s="17"/>
      <c r="N41" s="17"/>
    </row>
    <row r="42" spans="1:15" hidden="1"/>
    <row r="43" spans="1:15" hidden="1">
      <c r="E43" s="17" t="s">
        <v>425</v>
      </c>
      <c r="G43" s="410" t="s">
        <v>722</v>
      </c>
      <c r="H43" s="410"/>
      <c r="I43" s="410"/>
      <c r="J43" s="410"/>
      <c r="K43" s="410"/>
    </row>
    <row r="44" spans="1:15" hidden="1">
      <c r="E44" s="417"/>
      <c r="F44" s="416"/>
      <c r="G44" s="411" t="s">
        <v>419</v>
      </c>
      <c r="H44" s="411"/>
      <c r="I44" s="411"/>
      <c r="J44" s="415" t="s">
        <v>606</v>
      </c>
      <c r="K44" s="415"/>
      <c r="L44" s="17"/>
      <c r="M44" s="17"/>
      <c r="N44" s="17"/>
      <c r="O44" s="342"/>
    </row>
    <row r="45" spans="1:15" ht="27" hidden="1">
      <c r="E45" s="417"/>
      <c r="F45" s="416"/>
      <c r="G45" s="412" t="s">
        <v>420</v>
      </c>
      <c r="H45" s="412" t="s">
        <v>90</v>
      </c>
      <c r="I45" s="413" t="s">
        <v>605</v>
      </c>
      <c r="J45" s="410"/>
      <c r="K45" s="410"/>
      <c r="L45" s="17"/>
      <c r="M45" s="17"/>
      <c r="N45" s="17"/>
      <c r="O45" s="343"/>
    </row>
    <row r="46" spans="1:15" hidden="1">
      <c r="E46" s="417"/>
      <c r="F46" s="416"/>
      <c r="G46" s="148"/>
      <c r="H46" s="148"/>
      <c r="I46" s="148"/>
      <c r="J46" s="410"/>
      <c r="K46" s="410"/>
      <c r="L46" s="17"/>
      <c r="M46" s="17"/>
      <c r="N46" s="17"/>
      <c r="O46" s="342"/>
    </row>
    <row r="47" spans="1:15" hidden="1">
      <c r="E47" s="417"/>
      <c r="F47" s="416" t="s">
        <v>723</v>
      </c>
      <c r="G47" s="148"/>
      <c r="H47" s="148"/>
      <c r="I47" s="148"/>
      <c r="J47" s="410"/>
      <c r="K47" s="410"/>
    </row>
    <row r="48" spans="1:15" hidden="1">
      <c r="E48" s="417"/>
      <c r="F48" s="416" t="s">
        <v>421</v>
      </c>
      <c r="G48" s="414"/>
      <c r="H48" s="414"/>
      <c r="I48" s="414"/>
      <c r="J48" s="410"/>
      <c r="K48" s="414"/>
    </row>
    <row r="49" spans="2:14" hidden="1">
      <c r="E49" s="417"/>
      <c r="F49" s="416" t="s">
        <v>447</v>
      </c>
      <c r="G49" s="414"/>
      <c r="H49" s="414"/>
      <c r="I49" s="414"/>
      <c r="J49" s="410"/>
      <c r="K49" s="414"/>
    </row>
    <row r="50" spans="2:14" hidden="1">
      <c r="E50" s="417"/>
      <c r="F50" s="416" t="s">
        <v>720</v>
      </c>
      <c r="G50" s="414"/>
      <c r="H50" s="414"/>
      <c r="I50" s="414"/>
      <c r="J50" s="410"/>
      <c r="K50" s="414"/>
    </row>
    <row r="51" spans="2:14" hidden="1">
      <c r="E51" s="417"/>
      <c r="F51" s="416" t="s">
        <v>248</v>
      </c>
      <c r="G51" s="414"/>
      <c r="H51" s="414"/>
      <c r="I51" s="414"/>
      <c r="J51" s="410"/>
      <c r="K51" s="414"/>
    </row>
    <row r="52" spans="2:14" hidden="1"/>
    <row r="53" spans="2:14" hidden="1"/>
    <row r="54" spans="2:14" hidden="1">
      <c r="K54" s="94"/>
      <c r="L54" s="17"/>
      <c r="M54" s="17"/>
      <c r="N54" s="17"/>
    </row>
    <row r="55" spans="2:14" hidden="1"/>
    <row r="56" spans="2:14" hidden="1"/>
    <row r="57" spans="2:14" ht="12.75" customHeight="1">
      <c r="B57" s="6" t="s">
        <v>730</v>
      </c>
      <c r="C57" s="6"/>
      <c r="D57" s="6"/>
      <c r="E57" s="6"/>
      <c r="F57" s="6"/>
      <c r="G57" s="123"/>
      <c r="H57" s="124"/>
    </row>
    <row r="58" spans="2:14">
      <c r="B58" s="3025" t="s">
        <v>337</v>
      </c>
      <c r="C58" s="8"/>
      <c r="D58" s="8"/>
      <c r="E58" s="3038" t="s">
        <v>338</v>
      </c>
      <c r="F58" s="23" t="s">
        <v>339</v>
      </c>
      <c r="G58" s="3025" t="s">
        <v>340</v>
      </c>
      <c r="H58" s="6"/>
    </row>
    <row r="59" spans="2:14" ht="66.599999999999994">
      <c r="B59" s="3037"/>
      <c r="C59" s="15"/>
      <c r="D59" s="15"/>
      <c r="E59" s="3039"/>
      <c r="F59" s="23" t="s">
        <v>341</v>
      </c>
      <c r="G59" s="3026"/>
      <c r="H59" s="6"/>
    </row>
    <row r="60" spans="2:14" ht="16.8">
      <c r="B60" s="3037"/>
      <c r="C60" s="15"/>
      <c r="D60" s="15"/>
      <c r="E60" s="98" t="s">
        <v>342</v>
      </c>
      <c r="F60" s="98" t="s">
        <v>343</v>
      </c>
      <c r="G60" s="13"/>
      <c r="H60" s="124" t="s">
        <v>336</v>
      </c>
    </row>
    <row r="61" spans="2:14" ht="15.75" customHeight="1">
      <c r="B61" s="3026"/>
      <c r="C61" s="10"/>
      <c r="D61" s="10"/>
      <c r="E61" s="13" t="s">
        <v>99</v>
      </c>
      <c r="F61" s="13" t="s">
        <v>344</v>
      </c>
      <c r="G61" s="13" t="s">
        <v>344</v>
      </c>
      <c r="H61" s="123"/>
    </row>
    <row r="62" spans="2:14">
      <c r="B62" s="13" t="s">
        <v>292</v>
      </c>
      <c r="C62" s="583"/>
      <c r="D62" s="583"/>
      <c r="E62" s="1372">
        <f>'изм.приказ 27 от 28.04.2011'!B42</f>
        <v>427956.36</v>
      </c>
      <c r="F62" s="1372">
        <f>'изм.приказ 27 от 28.04.2011'!D42</f>
        <v>179.28</v>
      </c>
      <c r="G62" s="1372">
        <f>'изм.приказ 27 от 28.04.2011'!F42</f>
        <v>789.41</v>
      </c>
      <c r="H62" s="585">
        <f>(E62*12/(G62-F62))</f>
        <v>8417.0198482290671</v>
      </c>
    </row>
    <row r="63" spans="2:14">
      <c r="B63" s="13" t="s">
        <v>276</v>
      </c>
      <c r="C63" s="13"/>
      <c r="D63" s="1308"/>
      <c r="E63" s="224">
        <f>'изм.приказ 27 от 28.04.2011'!B43</f>
        <v>781756.21</v>
      </c>
      <c r="F63" s="224">
        <f>'изм.приказ 27 от 28.04.2011'!D43</f>
        <v>191.71</v>
      </c>
      <c r="G63" s="224">
        <f>'изм.приказ 27 от 28.04.2011'!F43</f>
        <v>1324.32</v>
      </c>
      <c r="H63" s="123">
        <f>(E63*12/(G63-F63))</f>
        <v>8282.7050087850184</v>
      </c>
    </row>
    <row r="64" spans="2:14">
      <c r="B64" s="23" t="s">
        <v>348</v>
      </c>
      <c r="C64" s="23"/>
      <c r="D64" s="1370"/>
      <c r="E64" s="224">
        <f>'изм.приказ 27 от 28.04.2011'!B44</f>
        <v>1110334.72</v>
      </c>
      <c r="F64" s="224">
        <f>'изм.приказ 27 от 28.04.2011'!D44</f>
        <v>469.5</v>
      </c>
      <c r="G64" s="224">
        <f>'изм.приказ 27 от 28.04.2011'!F44</f>
        <v>2146.56</v>
      </c>
      <c r="H64" s="123">
        <f>(E64*12/(G64-F64))</f>
        <v>7944.8658008658012</v>
      </c>
    </row>
    <row r="65" spans="2:8">
      <c r="B65" s="13" t="s">
        <v>280</v>
      </c>
      <c r="C65" s="583"/>
      <c r="D65" s="583"/>
      <c r="E65" s="1373">
        <f>'изм.приказ 27 от 28.04.2011'!B45</f>
        <v>2019526.48</v>
      </c>
      <c r="F65" s="1373">
        <f>'изм.приказ 27 от 28.04.2011'!D45</f>
        <v>535.79999999999995</v>
      </c>
      <c r="G65" s="1373">
        <f>'изм.приказ 27 от 28.04.2011'!F45</f>
        <v>3325.91</v>
      </c>
      <c r="H65" s="585">
        <f>(E65*12/(G65-F65))</f>
        <v>8685.7929472314718</v>
      </c>
    </row>
    <row r="66" spans="2:8">
      <c r="B66" s="374" t="s">
        <v>449</v>
      </c>
      <c r="C66" s="374"/>
      <c r="D66" s="1371"/>
      <c r="E66" s="375">
        <f>'изм.приказ 27 от 28.04.2011'!B46</f>
        <v>22308.959999999999</v>
      </c>
      <c r="F66" s="375">
        <f>'изм.приказ 27 от 28.04.2011'!D46</f>
        <v>210.28899999999999</v>
      </c>
      <c r="G66" s="375">
        <f>'изм.приказ 27 от 28.04.2011'!F46</f>
        <v>258.20999999999998</v>
      </c>
      <c r="H66" s="229">
        <f>(E66*12/(G66-F66))</f>
        <v>5586.4343398510064</v>
      </c>
    </row>
    <row r="67" spans="2:8">
      <c r="B67" s="55"/>
      <c r="C67" s="55"/>
      <c r="D67" s="55"/>
      <c r="E67" s="55"/>
      <c r="F67" s="55"/>
      <c r="G67" s="55"/>
      <c r="H67" s="55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9">
    <tabColor rgb="FFC00000"/>
  </sheetPr>
  <dimension ref="A1:S67"/>
  <sheetViews>
    <sheetView topLeftCell="D18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9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1255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1365" t="s">
        <v>1256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395</v>
      </c>
      <c r="J16" s="255"/>
      <c r="K16" s="256"/>
      <c r="L16" s="649" t="s">
        <v>713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17.399999999999999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 t="e">
        <f>'НВВ на содержание'!E8</f>
        <v>#REF!</v>
      </c>
      <c r="J19" s="285" t="e">
        <f>E40*E41/1000</f>
        <v>#REF!</v>
      </c>
      <c r="K19" s="286" t="e">
        <f>ROUND((I19+J19),1)</f>
        <v>#REF!</v>
      </c>
      <c r="L19" s="287"/>
      <c r="M19" s="288"/>
      <c r="N19" s="289">
        <f>N23-N31+N34</f>
        <v>20203.202561530001</v>
      </c>
      <c r="O19" s="276" t="e">
        <f>$E$40*$E$41/1000</f>
        <v>#REF!</v>
      </c>
      <c r="Q19" s="1294">
        <f>N23+K34-N32-K33</f>
        <v>20124.203227099999</v>
      </c>
      <c r="R19" s="1296"/>
      <c r="S19" s="1297"/>
    </row>
    <row r="20" spans="1:19" ht="16.2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I23+I34-I31</f>
        <v>15915.315427000001</v>
      </c>
      <c r="J20" s="294">
        <f>ROUND((J23+J34-J31),1)</f>
        <v>4606.7</v>
      </c>
      <c r="K20" s="286">
        <f>ROUND((I20+J20),1)</f>
        <v>20522</v>
      </c>
      <c r="L20" s="295"/>
      <c r="M20" s="211"/>
      <c r="N20" s="296"/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 t="e">
        <f>K19-K20</f>
        <v>#REF!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12519.332428320002</v>
      </c>
      <c r="J23" s="321">
        <f>SUM(J25:J29)</f>
        <v>3427.6656749999997</v>
      </c>
      <c r="K23" s="322">
        <f>I23+J23</f>
        <v>15946.998103320002</v>
      </c>
      <c r="L23" s="295"/>
      <c r="M23" s="211"/>
      <c r="N23" s="322">
        <f>SUM(N25:N29)</f>
        <v>15550.8</v>
      </c>
      <c r="O23" s="609">
        <f>N23-K23</f>
        <v>-396.1981033200027</v>
      </c>
      <c r="P23" s="623">
        <f>N19-K20</f>
        <v>-318.79743846999918</v>
      </c>
    </row>
    <row r="24" spans="1:19" ht="27.75" customHeight="1">
      <c r="A24" s="282"/>
      <c r="B24" s="280" t="s">
        <v>414</v>
      </c>
      <c r="C24" s="605" t="s">
        <v>715</v>
      </c>
      <c r="D24" s="1303">
        <f>SUM(D25:D29)</f>
        <v>1.2889999999999999</v>
      </c>
      <c r="E24" s="1304">
        <f>SUM(E25:E29)</f>
        <v>9928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7579.1433891992547</v>
      </c>
      <c r="D25" s="1366">
        <v>0.53700000000000003</v>
      </c>
      <c r="E25" s="1367">
        <v>4070</v>
      </c>
      <c r="F25" s="325">
        <f>E62</f>
        <v>427956.36</v>
      </c>
      <c r="G25" s="326">
        <f>'изм.приказ 27 от 28.04.2011'!D42</f>
        <v>179.28</v>
      </c>
      <c r="H25" s="327">
        <f>'изм.приказ 27 от 28.04.2011'!F42</f>
        <v>789.41</v>
      </c>
      <c r="I25" s="556">
        <f>D25*F25*12/1000</f>
        <v>2757.7507838399997</v>
      </c>
      <c r="J25" s="556">
        <f>E25*G25/1000</f>
        <v>729.66959999999995</v>
      </c>
      <c r="K25" s="557">
        <f>I25+J25</f>
        <v>3487.4203838399999</v>
      </c>
      <c r="L25" s="1286"/>
      <c r="M25" s="556"/>
      <c r="N25" s="557">
        <f>ROUND((E25*H25/1000),1)</f>
        <v>3212.9</v>
      </c>
    </row>
    <row r="26" spans="1:19">
      <c r="A26" s="290"/>
      <c r="B26" s="324" t="s">
        <v>415</v>
      </c>
      <c r="C26" s="1299">
        <f>E26/D26</f>
        <v>7946.0972017673039</v>
      </c>
      <c r="D26" s="1303">
        <v>0.67900000000000005</v>
      </c>
      <c r="E26" s="1367">
        <v>5395.4</v>
      </c>
      <c r="F26" s="325">
        <f>E64</f>
        <v>1110334.72</v>
      </c>
      <c r="G26" s="326">
        <f>'изм.приказ 27 от 28.04.2011'!D44</f>
        <v>469.5</v>
      </c>
      <c r="H26" s="327">
        <f>'изм.приказ 27 от 28.04.2011'!F44</f>
        <v>2146.56</v>
      </c>
      <c r="I26" s="556">
        <f>D26*F26*12/1000</f>
        <v>9047.0072985600018</v>
      </c>
      <c r="J26" s="556">
        <f>E26*G26/1000</f>
        <v>2533.1403</v>
      </c>
      <c r="K26" s="557">
        <f>I26+J26</f>
        <v>11580.147598560001</v>
      </c>
      <c r="L26" s="1286"/>
      <c r="M26" s="556"/>
      <c r="N26" s="557">
        <f>ROUND((E26*H26/1000),1)</f>
        <v>11581.5</v>
      </c>
    </row>
    <row r="27" spans="1:19">
      <c r="A27" s="290"/>
      <c r="B27" s="328" t="s">
        <v>1226</v>
      </c>
      <c r="C27" s="1299">
        <f>E27/D27</f>
        <v>7158.6206896551721</v>
      </c>
      <c r="D27" s="1303">
        <v>2.9000000000000001E-2</v>
      </c>
      <c r="E27" s="1304">
        <v>207.6</v>
      </c>
      <c r="F27" s="325">
        <f>'изм.приказ 27 от 28.04.2011'!B45</f>
        <v>2019526.48</v>
      </c>
      <c r="G27" s="326">
        <f>'изм.приказ 27 от 28.04.2011'!D45</f>
        <v>535.79999999999995</v>
      </c>
      <c r="H27" s="327">
        <f>'изм.приказ 27 от 28.04.2011'!F45</f>
        <v>3325.91</v>
      </c>
      <c r="I27" s="556">
        <f>D27*F27*12/1000</f>
        <v>702.79521504000002</v>
      </c>
      <c r="J27" s="556">
        <f>E27*G27/1000</f>
        <v>111.23207999999998</v>
      </c>
      <c r="K27" s="557">
        <f>I27+J27</f>
        <v>814.02729504000001</v>
      </c>
      <c r="L27" s="1286"/>
      <c r="M27" s="556"/>
      <c r="N27" s="557">
        <f>ROUND((E27*H27/1000),1)</f>
        <v>690.5</v>
      </c>
    </row>
    <row r="28" spans="1:19" s="391" customFormat="1" ht="28.2">
      <c r="A28" s="290"/>
      <c r="B28" s="328" t="s">
        <v>1225</v>
      </c>
      <c r="C28" s="1299">
        <f>E28/D28</f>
        <v>5633.333333333333</v>
      </c>
      <c r="D28" s="1303">
        <v>3.0000000000000001E-3</v>
      </c>
      <c r="E28" s="1304">
        <v>16.899999999999999</v>
      </c>
      <c r="F28" s="325">
        <f>'изм.приказ 27 от 28.04.2011'!B46</f>
        <v>22308.959999999999</v>
      </c>
      <c r="G28" s="326">
        <f>'изм.приказ 27 от 28.04.2011'!D46</f>
        <v>210.28899999999999</v>
      </c>
      <c r="H28" s="327">
        <f>'изм.приказ 27 от 28.04.2011'!F46</f>
        <v>258.20999999999998</v>
      </c>
      <c r="I28" s="556">
        <f>D28*F28*12/1000</f>
        <v>0.80312256000000004</v>
      </c>
      <c r="J28" s="556">
        <f>E28*G28/1000</f>
        <v>3.5538840999999994</v>
      </c>
      <c r="K28" s="557">
        <f>I28+J28</f>
        <v>4.3570066599999997</v>
      </c>
      <c r="L28" s="1286"/>
      <c r="M28" s="556"/>
      <c r="N28" s="557">
        <f>ROUND((E28*H28/1000),1)</f>
        <v>4.4000000000000004</v>
      </c>
    </row>
    <row r="29" spans="1:19" s="391" customFormat="1" ht="28.8" thickBot="1">
      <c r="A29" s="401"/>
      <c r="B29" s="328" t="s">
        <v>416</v>
      </c>
      <c r="C29" s="627">
        <f>E29/D29</f>
        <v>5807.3170731707314</v>
      </c>
      <c r="D29" s="1368">
        <v>4.1000000000000002E-2</v>
      </c>
      <c r="E29" s="1369">
        <v>238.1</v>
      </c>
      <c r="F29" s="405">
        <f>F28</f>
        <v>22308.959999999999</v>
      </c>
      <c r="G29" s="406">
        <f>G28</f>
        <v>210.28899999999999</v>
      </c>
      <c r="H29" s="407">
        <f>G66</f>
        <v>258.20999999999998</v>
      </c>
      <c r="I29" s="331">
        <f>D29*F29*12/1000</f>
        <v>10.97600832</v>
      </c>
      <c r="J29" s="332">
        <f>E29*G29/1000</f>
        <v>50.0698109</v>
      </c>
      <c r="K29" s="333">
        <f>I29+J29</f>
        <v>61.045819219999998</v>
      </c>
      <c r="L29" s="331"/>
      <c r="M29" s="1287"/>
      <c r="N29" s="333">
        <f>ROUND((E29*H29/1000),1)</f>
        <v>61.5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SUM(I32:I33)</f>
        <v>2127.6515377999999</v>
      </c>
      <c r="J31" s="556">
        <f>SUM(J32:J33)</f>
        <v>1646.4595171000001</v>
      </c>
      <c r="K31" s="1298">
        <f>SUM(K32:K33)</f>
        <v>3774.1110549</v>
      </c>
      <c r="L31" s="615">
        <f>SUM(L33:L33)</f>
        <v>0</v>
      </c>
      <c r="M31" s="465">
        <f>SUM(M33:M33)</f>
        <v>0</v>
      </c>
      <c r="N31" s="628">
        <f>SUM(N32:N33)</f>
        <v>3697.8145927999994</v>
      </c>
    </row>
    <row r="32" spans="1:19" ht="22.5" customHeight="1">
      <c r="A32" s="339">
        <v>1</v>
      </c>
      <c r="B32" s="280" t="s">
        <v>1231</v>
      </c>
      <c r="C32" s="626">
        <f>E32/D32</f>
        <v>8867.3333333333339</v>
      </c>
      <c r="D32" s="1291">
        <v>1.4999999999999999E-2</v>
      </c>
      <c r="E32" s="1292">
        <v>133.01</v>
      </c>
      <c r="F32" s="613">
        <v>279175.21000000002</v>
      </c>
      <c r="G32" s="614">
        <v>108.71</v>
      </c>
      <c r="H32" s="1293">
        <f>K32/E32*1000+12.17</f>
        <v>498.68270505977</v>
      </c>
      <c r="I32" s="295">
        <f>$D32*$F32*12/1000</f>
        <v>50.251537800000008</v>
      </c>
      <c r="J32" s="211">
        <f>$E32*$G32/1000</f>
        <v>14.459517099999998</v>
      </c>
      <c r="K32" s="296">
        <f>I32+J32</f>
        <v>64.711054900000008</v>
      </c>
      <c r="L32" s="465"/>
      <c r="M32" s="465"/>
      <c r="N32" s="603">
        <f>E32*H32/1000</f>
        <v>66.329786600000006</v>
      </c>
    </row>
    <row r="33" spans="1:15" ht="22.5" customHeight="1" thickBot="1">
      <c r="A33" s="339">
        <v>1</v>
      </c>
      <c r="B33" s="280" t="s">
        <v>1232</v>
      </c>
      <c r="C33" s="626">
        <f>E33/D33</f>
        <v>8745.2795698924729</v>
      </c>
      <c r="D33" s="323">
        <v>9.2999999999999999E-2</v>
      </c>
      <c r="E33" s="1282">
        <v>813.31100000000004</v>
      </c>
      <c r="F33" s="613">
        <v>1861465.03</v>
      </c>
      <c r="G33" s="614">
        <v>2006.61</v>
      </c>
      <c r="H33" s="1293">
        <f>K33/E33*1000-95.8</f>
        <v>4465.0629417283171</v>
      </c>
      <c r="I33" s="556">
        <f>ROUND(($D$33*$F$33*12/1000),1)</f>
        <v>2077.4</v>
      </c>
      <c r="J33" s="556">
        <f>ROUND(($E$33*$G$33/1000),1)</f>
        <v>1632</v>
      </c>
      <c r="K33" s="557">
        <f>I33+J33</f>
        <v>3709.4</v>
      </c>
      <c r="L33" s="465"/>
      <c r="M33" s="465"/>
      <c r="N33" s="603">
        <f>E33*H33/1000</f>
        <v>3631.4848061999996</v>
      </c>
    </row>
    <row r="34" spans="1:15" ht="47.4" thickBot="1">
      <c r="A34" s="637" t="s">
        <v>422</v>
      </c>
      <c r="B34" s="638" t="s">
        <v>1230</v>
      </c>
      <c r="C34" s="1302"/>
      <c r="D34" s="639"/>
      <c r="E34" s="640"/>
      <c r="F34" s="641" t="s">
        <v>420</v>
      </c>
      <c r="G34" s="642" t="s">
        <v>90</v>
      </c>
      <c r="H34" s="643" t="s">
        <v>90</v>
      </c>
      <c r="I34" s="644">
        <f>SUM(I35:I37)</f>
        <v>5523.63453648</v>
      </c>
      <c r="J34" s="645">
        <f>SUM(J35:J37)</f>
        <v>2825.49847722</v>
      </c>
      <c r="K34" s="646">
        <f>SUM(K35:K37)</f>
        <v>8349.1330137000004</v>
      </c>
      <c r="L34" s="647">
        <f>SUM(L36:L37)</f>
        <v>0</v>
      </c>
      <c r="M34" s="648">
        <f>SUM(M36:M37)</f>
        <v>0</v>
      </c>
      <c r="N34" s="646">
        <f>SUM(N35:N37)</f>
        <v>8350.217154330001</v>
      </c>
    </row>
    <row r="35" spans="1:15">
      <c r="A35" s="629">
        <v>1</v>
      </c>
      <c r="B35" s="363" t="s">
        <v>421</v>
      </c>
      <c r="C35" s="630">
        <f>E35/D35</f>
        <v>8292.3407526388255</v>
      </c>
      <c r="D35" s="1288">
        <f>D24+D36+D37+D32+D33+G40</f>
        <v>4.3579999999999997</v>
      </c>
      <c r="E35" s="1288">
        <f>E24+E36+E37+E32+E33+E40</f>
        <v>36138.021000000001</v>
      </c>
      <c r="F35" s="631">
        <v>451.08</v>
      </c>
      <c r="G35" s="632">
        <v>0.82</v>
      </c>
      <c r="H35" s="1293">
        <f>K35/E35*1000+0.03</f>
        <v>1.5027662286764401</v>
      </c>
      <c r="I35" s="633">
        <f>$D$35*$F$35*12/1000</f>
        <v>23.589679679999996</v>
      </c>
      <c r="J35" s="634">
        <f>$E$35*$G$35/1000</f>
        <v>29.633177219999997</v>
      </c>
      <c r="K35" s="635">
        <f>I35+J35</f>
        <v>53.222856899999996</v>
      </c>
      <c r="L35" s="636"/>
      <c r="M35" s="634"/>
      <c r="N35" s="635">
        <f>E35*H35/1000</f>
        <v>54.306997529999997</v>
      </c>
    </row>
    <row r="36" spans="1:15">
      <c r="A36" s="364">
        <v>2</v>
      </c>
      <c r="B36" s="280" t="s">
        <v>447</v>
      </c>
      <c r="C36" s="626">
        <f>E36/D36</f>
        <v>8650.9803921568637</v>
      </c>
      <c r="D36" s="323">
        <v>2.5499999999999998</v>
      </c>
      <c r="E36" s="606">
        <v>22060</v>
      </c>
      <c r="F36" s="616">
        <v>169906.8</v>
      </c>
      <c r="G36" s="617">
        <v>114.55</v>
      </c>
      <c r="H36" s="618">
        <f>K36/E36*1000</f>
        <v>350.23214324569358</v>
      </c>
      <c r="I36" s="295">
        <f>$D36*$F36*12/1000</f>
        <v>5199.1480799999999</v>
      </c>
      <c r="J36" s="211">
        <f>$E36*$G36/1000</f>
        <v>2526.973</v>
      </c>
      <c r="K36" s="296">
        <f>I36+J36</f>
        <v>7726.1210799999999</v>
      </c>
      <c r="L36" s="404"/>
      <c r="M36" s="211"/>
      <c r="N36" s="296">
        <f>E36*H36/1000</f>
        <v>7726.1210799999999</v>
      </c>
    </row>
    <row r="37" spans="1:15" ht="16.2" thickBot="1">
      <c r="A37" s="340">
        <v>3</v>
      </c>
      <c r="B37" s="292" t="s">
        <v>1233</v>
      </c>
      <c r="C37" s="627">
        <f>E37/D37</f>
        <v>6607.8431372549021</v>
      </c>
      <c r="D37" s="329">
        <v>0.10199999999999999</v>
      </c>
      <c r="E37" s="607">
        <v>674</v>
      </c>
      <c r="F37" s="619">
        <v>245830.7</v>
      </c>
      <c r="G37" s="620">
        <v>398.95</v>
      </c>
      <c r="H37" s="621">
        <f>K37/E37*1000</f>
        <v>845.38438694362014</v>
      </c>
      <c r="I37" s="612">
        <f>$D$37*$F$37*12/1000</f>
        <v>300.8967768</v>
      </c>
      <c r="J37" s="611">
        <f>$E$37*$G$37/1000</f>
        <v>268.89229999999998</v>
      </c>
      <c r="K37" s="650">
        <f>I37+J37</f>
        <v>569.78907679999998</v>
      </c>
      <c r="L37" s="624"/>
      <c r="M37" s="625"/>
      <c r="N37" s="333">
        <f>E37*H37/1000</f>
        <v>569.78907679999998</v>
      </c>
    </row>
    <row r="38" spans="1:15" hidden="1">
      <c r="F38" s="94"/>
      <c r="G38" s="94"/>
      <c r="H38" s="94"/>
      <c r="L38" s="17"/>
      <c r="M38" s="17"/>
      <c r="N38" s="17"/>
    </row>
    <row r="39" spans="1:15">
      <c r="B39" s="52" t="s">
        <v>352</v>
      </c>
      <c r="C39" s="52"/>
      <c r="L39" s="17"/>
      <c r="M39" s="17"/>
      <c r="N39" s="17"/>
    </row>
    <row r="40" spans="1:15">
      <c r="D40" s="52" t="s">
        <v>1234</v>
      </c>
      <c r="E40" s="1374">
        <v>2529.6999999999998</v>
      </c>
      <c r="F40" s="17" t="s">
        <v>423</v>
      </c>
      <c r="G40" s="17">
        <f>0.309</f>
        <v>0.309</v>
      </c>
      <c r="H40" s="608">
        <f>E36+E37+E29+E40</f>
        <v>25501.8</v>
      </c>
      <c r="L40" s="17"/>
      <c r="M40" s="17"/>
      <c r="N40" s="17"/>
    </row>
    <row r="41" spans="1:15">
      <c r="D41" s="52" t="s">
        <v>424</v>
      </c>
      <c r="E41" s="341" t="e">
        <f>#REF!</f>
        <v>#REF!</v>
      </c>
      <c r="F41" s="17" t="s">
        <v>425</v>
      </c>
      <c r="L41" s="17"/>
      <c r="M41" s="17"/>
      <c r="N41" s="17"/>
    </row>
    <row r="42" spans="1:15" hidden="1"/>
    <row r="43" spans="1:15" hidden="1">
      <c r="E43" s="17" t="s">
        <v>425</v>
      </c>
      <c r="G43" s="410" t="s">
        <v>722</v>
      </c>
      <c r="H43" s="410"/>
      <c r="I43" s="410"/>
      <c r="J43" s="410"/>
      <c r="K43" s="410"/>
    </row>
    <row r="44" spans="1:15" hidden="1">
      <c r="E44" s="417"/>
      <c r="F44" s="416"/>
      <c r="G44" s="411" t="s">
        <v>419</v>
      </c>
      <c r="H44" s="411"/>
      <c r="I44" s="411"/>
      <c r="J44" s="415" t="s">
        <v>606</v>
      </c>
      <c r="K44" s="415"/>
      <c r="L44" s="17"/>
      <c r="M44" s="17"/>
      <c r="N44" s="17"/>
      <c r="O44" s="342"/>
    </row>
    <row r="45" spans="1:15" ht="27" hidden="1">
      <c r="E45" s="417"/>
      <c r="F45" s="416"/>
      <c r="G45" s="412" t="s">
        <v>420</v>
      </c>
      <c r="H45" s="412" t="s">
        <v>90</v>
      </c>
      <c r="I45" s="413" t="s">
        <v>605</v>
      </c>
      <c r="J45" s="410"/>
      <c r="K45" s="410"/>
      <c r="L45" s="17"/>
      <c r="M45" s="17"/>
      <c r="N45" s="17"/>
      <c r="O45" s="343"/>
    </row>
    <row r="46" spans="1:15" hidden="1">
      <c r="E46" s="417"/>
      <c r="F46" s="416"/>
      <c r="G46" s="148"/>
      <c r="H46" s="148"/>
      <c r="I46" s="148"/>
      <c r="J46" s="410"/>
      <c r="K46" s="410"/>
      <c r="L46" s="17"/>
      <c r="M46" s="17"/>
      <c r="N46" s="17"/>
      <c r="O46" s="342"/>
    </row>
    <row r="47" spans="1:15" hidden="1">
      <c r="E47" s="417"/>
      <c r="F47" s="416" t="s">
        <v>723</v>
      </c>
      <c r="G47" s="148"/>
      <c r="H47" s="148"/>
      <c r="I47" s="148"/>
      <c r="J47" s="410"/>
      <c r="K47" s="410"/>
    </row>
    <row r="48" spans="1:15" hidden="1">
      <c r="E48" s="417"/>
      <c r="F48" s="416" t="s">
        <v>421</v>
      </c>
      <c r="G48" s="414"/>
      <c r="H48" s="414"/>
      <c r="I48" s="414"/>
      <c r="J48" s="410"/>
      <c r="K48" s="414"/>
    </row>
    <row r="49" spans="2:14" hidden="1">
      <c r="E49" s="417"/>
      <c r="F49" s="416" t="s">
        <v>447</v>
      </c>
      <c r="G49" s="414"/>
      <c r="H49" s="414"/>
      <c r="I49" s="414"/>
      <c r="J49" s="410"/>
      <c r="K49" s="414"/>
    </row>
    <row r="50" spans="2:14" hidden="1">
      <c r="E50" s="417"/>
      <c r="F50" s="416" t="s">
        <v>720</v>
      </c>
      <c r="G50" s="414"/>
      <c r="H50" s="414"/>
      <c r="I50" s="414"/>
      <c r="J50" s="410"/>
      <c r="K50" s="414"/>
    </row>
    <row r="51" spans="2:14" hidden="1">
      <c r="E51" s="417"/>
      <c r="F51" s="416" t="s">
        <v>248</v>
      </c>
      <c r="G51" s="414"/>
      <c r="H51" s="414"/>
      <c r="I51" s="414"/>
      <c r="J51" s="410"/>
      <c r="K51" s="414"/>
    </row>
    <row r="52" spans="2:14" hidden="1"/>
    <row r="53" spans="2:14" hidden="1"/>
    <row r="54" spans="2:14" hidden="1">
      <c r="K54" s="94"/>
      <c r="L54" s="17"/>
      <c r="M54" s="17"/>
      <c r="N54" s="17"/>
    </row>
    <row r="55" spans="2:14" hidden="1"/>
    <row r="56" spans="2:14" hidden="1"/>
    <row r="57" spans="2:14" ht="12.75" customHeight="1">
      <c r="B57" s="6" t="s">
        <v>730</v>
      </c>
      <c r="C57" s="6"/>
      <c r="D57" s="6"/>
      <c r="E57" s="6"/>
      <c r="F57" s="6"/>
      <c r="G57" s="123"/>
      <c r="H57" s="124"/>
    </row>
    <row r="58" spans="2:14">
      <c r="B58" s="3025" t="s">
        <v>337</v>
      </c>
      <c r="C58" s="8"/>
      <c r="D58" s="8"/>
      <c r="E58" s="3038" t="s">
        <v>338</v>
      </c>
      <c r="F58" s="23" t="s">
        <v>339</v>
      </c>
      <c r="G58" s="3025" t="s">
        <v>340</v>
      </c>
      <c r="H58" s="6"/>
    </row>
    <row r="59" spans="2:14" ht="66.599999999999994">
      <c r="B59" s="3037"/>
      <c r="C59" s="15"/>
      <c r="D59" s="15"/>
      <c r="E59" s="3039"/>
      <c r="F59" s="23" t="s">
        <v>341</v>
      </c>
      <c r="G59" s="3026"/>
      <c r="H59" s="6"/>
    </row>
    <row r="60" spans="2:14" ht="16.8">
      <c r="B60" s="3037"/>
      <c r="C60" s="15"/>
      <c r="D60" s="15"/>
      <c r="E60" s="98" t="s">
        <v>342</v>
      </c>
      <c r="F60" s="98" t="s">
        <v>343</v>
      </c>
      <c r="G60" s="13"/>
      <c r="H60" s="124" t="s">
        <v>336</v>
      </c>
    </row>
    <row r="61" spans="2:14" ht="15.75" customHeight="1">
      <c r="B61" s="3026"/>
      <c r="C61" s="10"/>
      <c r="D61" s="10"/>
      <c r="E61" s="13" t="s">
        <v>99</v>
      </c>
      <c r="F61" s="13" t="s">
        <v>344</v>
      </c>
      <c r="G61" s="13" t="s">
        <v>344</v>
      </c>
      <c r="H61" s="123"/>
    </row>
    <row r="62" spans="2:14">
      <c r="B62" s="13" t="s">
        <v>292</v>
      </c>
      <c r="C62" s="583"/>
      <c r="D62" s="583"/>
      <c r="E62" s="1372">
        <f>'изм.приказ 27 от 28.04.2011'!B42</f>
        <v>427956.36</v>
      </c>
      <c r="F62" s="1372">
        <f>'изм.приказ 27 от 28.04.2011'!D42</f>
        <v>179.28</v>
      </c>
      <c r="G62" s="1372">
        <f>'изм.приказ 27 от 28.04.2011'!F42</f>
        <v>789.41</v>
      </c>
      <c r="H62" s="585">
        <f>(E62*12/(G62-F62))</f>
        <v>8417.0198482290671</v>
      </c>
    </row>
    <row r="63" spans="2:14">
      <c r="B63" s="13" t="s">
        <v>276</v>
      </c>
      <c r="C63" s="13"/>
      <c r="D63" s="1308"/>
      <c r="E63" s="224">
        <f>'изм.приказ 27 от 28.04.2011'!B43</f>
        <v>781756.21</v>
      </c>
      <c r="F63" s="224">
        <f>'изм.приказ 27 от 28.04.2011'!D43</f>
        <v>191.71</v>
      </c>
      <c r="G63" s="224">
        <f>'изм.приказ 27 от 28.04.2011'!F43</f>
        <v>1324.32</v>
      </c>
      <c r="H63" s="123">
        <f>(E63*12/(G63-F63))</f>
        <v>8282.7050087850184</v>
      </c>
    </row>
    <row r="64" spans="2:14">
      <c r="B64" s="23" t="s">
        <v>348</v>
      </c>
      <c r="C64" s="23"/>
      <c r="D64" s="1370"/>
      <c r="E64" s="224">
        <f>'изм.приказ 27 от 28.04.2011'!B44</f>
        <v>1110334.72</v>
      </c>
      <c r="F64" s="224">
        <f>'изм.приказ 27 от 28.04.2011'!D44</f>
        <v>469.5</v>
      </c>
      <c r="G64" s="224">
        <f>'изм.приказ 27 от 28.04.2011'!F44</f>
        <v>2146.56</v>
      </c>
      <c r="H64" s="123">
        <f>(E64*12/(G64-F64))</f>
        <v>7944.8658008658012</v>
      </c>
    </row>
    <row r="65" spans="2:8">
      <c r="B65" s="13" t="s">
        <v>280</v>
      </c>
      <c r="C65" s="583"/>
      <c r="D65" s="583"/>
      <c r="E65" s="1373">
        <f>'изм.приказ 27 от 28.04.2011'!B45</f>
        <v>2019526.48</v>
      </c>
      <c r="F65" s="1373">
        <f>'изм.приказ 27 от 28.04.2011'!D45</f>
        <v>535.79999999999995</v>
      </c>
      <c r="G65" s="1373">
        <f>'изм.приказ 27 от 28.04.2011'!F45</f>
        <v>3325.91</v>
      </c>
      <c r="H65" s="585">
        <f>(E65*12/(G65-F65))</f>
        <v>8685.7929472314718</v>
      </c>
    </row>
    <row r="66" spans="2:8">
      <c r="B66" s="374" t="s">
        <v>449</v>
      </c>
      <c r="C66" s="374"/>
      <c r="D66" s="1371"/>
      <c r="E66" s="375">
        <f>'изм.приказ 27 от 28.04.2011'!B46</f>
        <v>22308.959999999999</v>
      </c>
      <c r="F66" s="375">
        <f>'изм.приказ 27 от 28.04.2011'!D46</f>
        <v>210.28899999999999</v>
      </c>
      <c r="G66" s="375">
        <f>'изм.приказ 27 от 28.04.2011'!F46</f>
        <v>258.20999999999998</v>
      </c>
      <c r="H66" s="229">
        <f>(E66*12/(G66-F66))</f>
        <v>5586.4343398510064</v>
      </c>
    </row>
    <row r="67" spans="2:8">
      <c r="B67" s="55"/>
      <c r="C67" s="55"/>
      <c r="D67" s="55"/>
      <c r="E67" s="55"/>
      <c r="F67" s="55"/>
      <c r="G67" s="55"/>
      <c r="H67" s="55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0">
    <tabColor theme="9" tint="0.59999389629810485"/>
  </sheetPr>
  <dimension ref="A1:S67"/>
  <sheetViews>
    <sheetView topLeftCell="A22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9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721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57"/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395</v>
      </c>
      <c r="J16" s="255"/>
      <c r="K16" s="256"/>
      <c r="L16" s="649" t="s">
        <v>713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17.399999999999999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>
        <f>'НВВ на содержание'!G8</f>
        <v>2006.8</v>
      </c>
      <c r="J19" s="285" t="e">
        <f>E40*E41/1000</f>
        <v>#REF!</v>
      </c>
      <c r="K19" s="286" t="e">
        <f>ROUND((I19+J19),1)</f>
        <v>#REF!</v>
      </c>
      <c r="L19" s="287"/>
      <c r="M19" s="288"/>
      <c r="N19" s="289">
        <f>N23-N31+N34</f>
        <v>12180.434711089547</v>
      </c>
      <c r="O19" s="276" t="e">
        <f>$E$40*$E$41/1000</f>
        <v>#REF!</v>
      </c>
      <c r="Q19" s="1294">
        <f>N23+K34-N32-K33</f>
        <v>12090.090771412128</v>
      </c>
      <c r="R19" s="1296"/>
      <c r="S19" s="1297"/>
    </row>
    <row r="20" spans="1:19" ht="16.2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 t="e">
        <f>I23+I34-I31</f>
        <v>#REF!</v>
      </c>
      <c r="J20" s="294">
        <f>ROUND((J23+J34-J31),1)</f>
        <v>2970.5</v>
      </c>
      <c r="K20" s="286" t="e">
        <f>ROUND((I20+J20),1)</f>
        <v>#REF!</v>
      </c>
      <c r="L20" s="295"/>
      <c r="M20" s="211"/>
      <c r="N20" s="296"/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 t="e">
        <f>K19-K20</f>
        <v>#REF!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 t="e">
        <f>SUM(I25:I29)</f>
        <v>#REF!</v>
      </c>
      <c r="J23" s="321">
        <f>SUM(J25:J29)</f>
        <v>3019.3427738000005</v>
      </c>
      <c r="K23" s="322" t="e">
        <f>I23+J23</f>
        <v>#REF!</v>
      </c>
      <c r="L23" s="295"/>
      <c r="M23" s="211"/>
      <c r="N23" s="322">
        <f>SUM(N25:N29)</f>
        <v>13587.599999999999</v>
      </c>
      <c r="O23" s="609" t="e">
        <f>N23-K23</f>
        <v>#REF!</v>
      </c>
      <c r="P23" s="623" t="e">
        <f>N19-K20</f>
        <v>#REF!</v>
      </c>
    </row>
    <row r="24" spans="1:19" ht="27.75" customHeight="1">
      <c r="A24" s="282"/>
      <c r="B24" s="280" t="s">
        <v>414</v>
      </c>
      <c r="C24" s="605" t="s">
        <v>715</v>
      </c>
      <c r="D24" s="1284" t="e">
        <f>SUM(D25:D29)</f>
        <v>#REF!</v>
      </c>
      <c r="E24" s="1283">
        <f>SUM(E25:E29)</f>
        <v>9965.9600000000009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8214</v>
      </c>
      <c r="D25" s="1306">
        <f>E25/8214</f>
        <v>0.49549549549549549</v>
      </c>
      <c r="E25" s="1307">
        <v>4070</v>
      </c>
      <c r="F25" s="325">
        <f>E62</f>
        <v>364484.63</v>
      </c>
      <c r="G25" s="326">
        <f>F62</f>
        <v>151.36000000000001</v>
      </c>
      <c r="H25" s="327">
        <f>G62</f>
        <v>671</v>
      </c>
      <c r="I25" s="556">
        <f>D25*F25*12/1000</f>
        <v>2167.2059081081079</v>
      </c>
      <c r="J25" s="556">
        <f>E25*G25/1000</f>
        <v>616.03520000000003</v>
      </c>
      <c r="K25" s="557">
        <f>I25+J25</f>
        <v>2783.2411081081082</v>
      </c>
      <c r="L25" s="1286"/>
      <c r="M25" s="556"/>
      <c r="N25" s="557">
        <f>ROUND((E25*H25/1000),1)</f>
        <v>2731</v>
      </c>
    </row>
    <row r="26" spans="1:19">
      <c r="A26" s="290"/>
      <c r="B26" s="324" t="s">
        <v>415</v>
      </c>
      <c r="C26" s="1299">
        <f>E26/D26</f>
        <v>7841</v>
      </c>
      <c r="D26" s="1284">
        <f>E26/7841</f>
        <v>0.68810100752455039</v>
      </c>
      <c r="E26" s="1307">
        <v>5395.4</v>
      </c>
      <c r="F26" s="325">
        <f t="shared" ref="F26:H28" si="0">E64</f>
        <v>942948.34</v>
      </c>
      <c r="G26" s="326">
        <f t="shared" si="0"/>
        <v>414.16</v>
      </c>
      <c r="H26" s="327">
        <f t="shared" si="0"/>
        <v>1847.1</v>
      </c>
      <c r="I26" s="556">
        <f>D26*F26*12/1000</f>
        <v>7786.1244335712272</v>
      </c>
      <c r="J26" s="556">
        <f>E26*G26/1000</f>
        <v>2234.5588640000001</v>
      </c>
      <c r="K26" s="557">
        <f>I26+J26</f>
        <v>10020.683297571228</v>
      </c>
      <c r="L26" s="1286"/>
      <c r="M26" s="556"/>
      <c r="N26" s="557">
        <f>ROUND((E26*H26/1000),1)</f>
        <v>9965.7999999999993</v>
      </c>
    </row>
    <row r="27" spans="1:19">
      <c r="A27" s="290"/>
      <c r="B27" s="328" t="s">
        <v>1226</v>
      </c>
      <c r="C27" s="1299" t="e">
        <f>E27/D27</f>
        <v>#REF!</v>
      </c>
      <c r="D27" s="1284" t="e">
        <f>'Баланс электрической мощности'!G28-'пл.об расч.по инд.межсет.та (2)'!D29</f>
        <v>#REF!</v>
      </c>
      <c r="E27" s="1283">
        <f>'Прилож.2 структура 2011г.-2012г'!F35</f>
        <v>290.83000000000004</v>
      </c>
      <c r="F27" s="325">
        <f t="shared" si="0"/>
        <v>1640145.12</v>
      </c>
      <c r="G27" s="326">
        <f t="shared" si="0"/>
        <v>472.06</v>
      </c>
      <c r="H27" s="327">
        <f t="shared" si="0"/>
        <v>2747.68</v>
      </c>
      <c r="I27" s="556" t="e">
        <f>D27*F27*12/1000</f>
        <v>#REF!</v>
      </c>
      <c r="J27" s="556">
        <f>E27*G27/1000</f>
        <v>137.28920980000001</v>
      </c>
      <c r="K27" s="557" t="e">
        <f>I27+J27</f>
        <v>#REF!</v>
      </c>
      <c r="L27" s="1286"/>
      <c r="M27" s="556"/>
      <c r="N27" s="557">
        <f>ROUND((E27*H27/1000),1)</f>
        <v>799.1</v>
      </c>
    </row>
    <row r="28" spans="1:19" s="391" customFormat="1" ht="28.2">
      <c r="A28" s="290"/>
      <c r="B28" s="328" t="s">
        <v>1225</v>
      </c>
      <c r="C28" s="1299" t="e">
        <f>E28/D28</f>
        <v>#REF!</v>
      </c>
      <c r="D28" s="1284" t="e">
        <f>#REF!</f>
        <v>#REF!</v>
      </c>
      <c r="E28" s="1283">
        <f>'Прилож.2 структура 2011г.-2012г'!E26</f>
        <v>21.36</v>
      </c>
      <c r="F28" s="325">
        <f t="shared" si="0"/>
        <v>133702.84</v>
      </c>
      <c r="G28" s="326">
        <f t="shared" si="0"/>
        <v>150</v>
      </c>
      <c r="H28" s="327">
        <f t="shared" si="0"/>
        <v>437.28</v>
      </c>
      <c r="I28" s="556" t="e">
        <f>D28*F28*12/1000</f>
        <v>#REF!</v>
      </c>
      <c r="J28" s="556">
        <f>E28*G28/1000</f>
        <v>3.2040000000000002</v>
      </c>
      <c r="K28" s="557" t="e">
        <f>I28+J28</f>
        <v>#REF!</v>
      </c>
      <c r="L28" s="1286"/>
      <c r="M28" s="556"/>
      <c r="N28" s="557">
        <f>ROUND((E28*H28/1000),1)</f>
        <v>9.3000000000000007</v>
      </c>
    </row>
    <row r="29" spans="1:19" s="391" customFormat="1" ht="28.8" thickBot="1">
      <c r="A29" s="401"/>
      <c r="B29" s="328" t="s">
        <v>416</v>
      </c>
      <c r="C29" s="627" t="e">
        <f>E29/D29</f>
        <v>#REF!</v>
      </c>
      <c r="D29" s="1285" t="e">
        <f>#REF!</f>
        <v>#REF!</v>
      </c>
      <c r="E29" s="330">
        <f>'Прилож.2 структура 2011г.-2012г'!F26</f>
        <v>188.37</v>
      </c>
      <c r="F29" s="405">
        <f>F28</f>
        <v>133702.84</v>
      </c>
      <c r="G29" s="406">
        <f>G28</f>
        <v>150</v>
      </c>
      <c r="H29" s="407">
        <f>G66</f>
        <v>437.28</v>
      </c>
      <c r="I29" s="331" t="e">
        <f>D29*F29*12/1000</f>
        <v>#REF!</v>
      </c>
      <c r="J29" s="332">
        <f>E29*G29/1000</f>
        <v>28.255500000000001</v>
      </c>
      <c r="K29" s="333" t="e">
        <f>I29+J29</f>
        <v>#REF!</v>
      </c>
      <c r="L29" s="331"/>
      <c r="M29" s="1287"/>
      <c r="N29" s="333">
        <f>ROUND((E29*H29/1000),1)</f>
        <v>82.4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SUM(I32:I33)</f>
        <v>5162.2075864799999</v>
      </c>
      <c r="J31" s="556">
        <f>SUM(J32:J33)</f>
        <v>1930.7856701799999</v>
      </c>
      <c r="K31" s="1298">
        <f>SUM(K32:K33)</f>
        <v>7092.99325666</v>
      </c>
      <c r="L31" s="615">
        <f>SUM(L33:L33)</f>
        <v>0</v>
      </c>
      <c r="M31" s="465">
        <f>SUM(M33:M33)</f>
        <v>0</v>
      </c>
      <c r="N31" s="628">
        <f>SUM(N32:N33)</f>
        <v>7010.0425975200005</v>
      </c>
    </row>
    <row r="32" spans="1:19" ht="22.5" customHeight="1">
      <c r="A32" s="339">
        <v>1</v>
      </c>
      <c r="B32" s="280" t="s">
        <v>1231</v>
      </c>
      <c r="C32" s="626">
        <f>E32/D32</f>
        <v>7183.2162162162167</v>
      </c>
      <c r="D32" s="1291">
        <f>'П1.30 - 07.06.11г.'!D137</f>
        <v>7.3999999999999996E-2</v>
      </c>
      <c r="E32" s="1292">
        <f>'П1.30 - 07.06.11г.'!C137</f>
        <v>531.55799999999999</v>
      </c>
      <c r="F32" s="613">
        <v>279175.21000000002</v>
      </c>
      <c r="G32" s="614">
        <v>108.71</v>
      </c>
      <c r="H32" s="1293">
        <f>K32/E32*1000+12.17</f>
        <v>587.25918435993799</v>
      </c>
      <c r="I32" s="295">
        <f>$D32*$F32*12/1000</f>
        <v>247.90758647999999</v>
      </c>
      <c r="J32" s="211">
        <f>$E32*$G32/1000</f>
        <v>57.785670179999997</v>
      </c>
      <c r="K32" s="296">
        <f>I32+J32</f>
        <v>305.69325665999997</v>
      </c>
      <c r="L32" s="465"/>
      <c r="M32" s="465"/>
      <c r="N32" s="603">
        <f>E32*H32/1000</f>
        <v>312.16231751999993</v>
      </c>
    </row>
    <row r="33" spans="1:15" ht="22.5" customHeight="1" thickBot="1">
      <c r="A33" s="339">
        <v>1</v>
      </c>
      <c r="B33" s="280" t="s">
        <v>1232</v>
      </c>
      <c r="C33" s="626">
        <f>E33/D33</f>
        <v>4242.727272727273</v>
      </c>
      <c r="D33" s="323">
        <v>0.22</v>
      </c>
      <c r="E33" s="1282">
        <v>933.4</v>
      </c>
      <c r="F33" s="613">
        <v>1861465.03</v>
      </c>
      <c r="G33" s="614">
        <v>2006.61</v>
      </c>
      <c r="H33" s="1293">
        <f>K33/E33*1000-95.8</f>
        <v>7175.7877437325915</v>
      </c>
      <c r="I33" s="556">
        <f>ROUND(($D$33*$F$33*12/1000),1)</f>
        <v>4914.3</v>
      </c>
      <c r="J33" s="556">
        <f>ROUND(($E$33*$G$33/1000),1)</f>
        <v>1873</v>
      </c>
      <c r="K33" s="557">
        <f>I33+J33</f>
        <v>6787.3</v>
      </c>
      <c r="L33" s="465"/>
      <c r="M33" s="465"/>
      <c r="N33" s="603">
        <f>E33*H33/1000</f>
        <v>6697.8802800000003</v>
      </c>
    </row>
    <row r="34" spans="1:15" ht="47.4" thickBot="1">
      <c r="A34" s="637" t="s">
        <v>422</v>
      </c>
      <c r="B34" s="638" t="s">
        <v>1230</v>
      </c>
      <c r="C34" s="1302"/>
      <c r="D34" s="639"/>
      <c r="E34" s="640"/>
      <c r="F34" s="641" t="s">
        <v>420</v>
      </c>
      <c r="G34" s="642" t="s">
        <v>90</v>
      </c>
      <c r="H34" s="643" t="s">
        <v>90</v>
      </c>
      <c r="I34" s="644">
        <f>SUM(I35:I37)</f>
        <v>3719.9817344160001</v>
      </c>
      <c r="J34" s="645">
        <f>SUM(J35:J37)</f>
        <v>1881.9713545161289</v>
      </c>
      <c r="K34" s="646">
        <f>SUM(K35:K37)</f>
        <v>5601.9530889321295</v>
      </c>
      <c r="L34" s="647">
        <f>SUM(L36:L37)</f>
        <v>0</v>
      </c>
      <c r="M34" s="648">
        <f>SUM(M36:M37)</f>
        <v>0</v>
      </c>
      <c r="N34" s="646">
        <f>SUM(N35:N37)</f>
        <v>5602.8773086095489</v>
      </c>
    </row>
    <row r="35" spans="1:15">
      <c r="A35" s="629">
        <v>1</v>
      </c>
      <c r="B35" s="363" t="s">
        <v>421</v>
      </c>
      <c r="C35" s="630">
        <f>E35/D35</f>
        <v>10916.453201745215</v>
      </c>
      <c r="D35" s="1289">
        <f>'Баланс электрической мощности'!C8</f>
        <v>2.8220999999999998</v>
      </c>
      <c r="E35" s="1288">
        <f>'Прилож.2 структура 2011г.-2012г'!G23+'Прилож.2 структура 2011г.-2012г'!G21+'Прилож.2 структура 2011г.-2012г'!G17</f>
        <v>30807.322580645166</v>
      </c>
      <c r="F35" s="631">
        <v>451.08</v>
      </c>
      <c r="G35" s="632">
        <v>0.82</v>
      </c>
      <c r="H35" s="1293">
        <f>K35/E35*1000+0.03</f>
        <v>1.3458533600578828</v>
      </c>
      <c r="I35" s="633">
        <f>$D$35*$F$35*12/1000</f>
        <v>15.275914415999997</v>
      </c>
      <c r="J35" s="634">
        <f>$E$35*$G$35/1000</f>
        <v>25.262004516129036</v>
      </c>
      <c r="K35" s="635">
        <f>I35+J35</f>
        <v>40.537918932129031</v>
      </c>
      <c r="L35" s="636"/>
      <c r="M35" s="634"/>
      <c r="N35" s="635">
        <f>E35*H35/1000</f>
        <v>41.462138609548383</v>
      </c>
    </row>
    <row r="36" spans="1:15">
      <c r="A36" s="364">
        <v>2</v>
      </c>
      <c r="B36" s="280" t="s">
        <v>447</v>
      </c>
      <c r="C36" s="626">
        <f>E36/D36</f>
        <v>8643.75</v>
      </c>
      <c r="D36" s="323">
        <f>1.56+0.04</f>
        <v>1.6</v>
      </c>
      <c r="E36" s="606">
        <f>13465+365</f>
        <v>13830</v>
      </c>
      <c r="F36" s="616">
        <v>169906.8</v>
      </c>
      <c r="G36" s="617">
        <v>114.55</v>
      </c>
      <c r="H36" s="618">
        <f>K36/E36*1000</f>
        <v>350.42928850325382</v>
      </c>
      <c r="I36" s="295">
        <f>$D36*$F36*12/1000</f>
        <v>3262.21056</v>
      </c>
      <c r="J36" s="211">
        <f>$E36*$G36/1000</f>
        <v>1584.2265</v>
      </c>
      <c r="K36" s="296">
        <f>I36+J36</f>
        <v>4846.4370600000002</v>
      </c>
      <c r="L36" s="404"/>
      <c r="M36" s="211"/>
      <c r="N36" s="296">
        <f>E36*H36/1000</f>
        <v>4846.4370600000002</v>
      </c>
    </row>
    <row r="37" spans="1:15" ht="16.2" thickBot="1">
      <c r="A37" s="340">
        <v>3</v>
      </c>
      <c r="B37" s="292" t="s">
        <v>1233</v>
      </c>
      <c r="C37" s="627">
        <f>E37/D37</f>
        <v>4553.3333333333339</v>
      </c>
      <c r="D37" s="329">
        <v>0.15</v>
      </c>
      <c r="E37" s="607">
        <v>683</v>
      </c>
      <c r="F37" s="619">
        <v>245830.7</v>
      </c>
      <c r="G37" s="620">
        <v>398.95</v>
      </c>
      <c r="H37" s="621">
        <f>K37/E37*1000</f>
        <v>1046.8200732064422</v>
      </c>
      <c r="I37" s="612">
        <f>$D$37*$F$37*12/1000</f>
        <v>442.49526000000003</v>
      </c>
      <c r="J37" s="611">
        <f>$E$37*$G$37/1000</f>
        <v>272.48284999999998</v>
      </c>
      <c r="K37" s="650">
        <f>I37+J37</f>
        <v>714.97811000000002</v>
      </c>
      <c r="L37" s="624"/>
      <c r="M37" s="625"/>
      <c r="N37" s="333">
        <f>E37*H37/1000</f>
        <v>714.97811000000002</v>
      </c>
    </row>
    <row r="38" spans="1:15" hidden="1">
      <c r="F38" s="94"/>
      <c r="G38" s="94"/>
      <c r="H38" s="94"/>
      <c r="L38" s="17"/>
      <c r="M38" s="17"/>
      <c r="N38" s="17"/>
    </row>
    <row r="39" spans="1:15">
      <c r="B39" s="52" t="s">
        <v>352</v>
      </c>
      <c r="C39" s="52"/>
      <c r="L39" s="17"/>
      <c r="M39" s="17"/>
      <c r="N39" s="17"/>
    </row>
    <row r="40" spans="1:15">
      <c r="D40" s="52" t="s">
        <v>1234</v>
      </c>
      <c r="E40" s="1305">
        <f>'Баланс электроэнергии'!C19*1000</f>
        <v>1450.8347700000002</v>
      </c>
      <c r="F40" s="17" t="s">
        <v>423</v>
      </c>
      <c r="H40" s="608">
        <f>E36+E37+E29+E40</f>
        <v>16152.20477</v>
      </c>
      <c r="L40" s="17"/>
      <c r="M40" s="17"/>
      <c r="N40" s="17"/>
    </row>
    <row r="41" spans="1:15">
      <c r="D41" s="52" t="s">
        <v>424</v>
      </c>
      <c r="E41" s="341" t="e">
        <f>#REF!*1000</f>
        <v>#REF!</v>
      </c>
      <c r="F41" s="17" t="s">
        <v>425</v>
      </c>
      <c r="L41" s="17"/>
      <c r="M41" s="17"/>
      <c r="N41" s="17"/>
    </row>
    <row r="42" spans="1:15" hidden="1"/>
    <row r="43" spans="1:15" hidden="1">
      <c r="E43" s="17" t="s">
        <v>425</v>
      </c>
      <c r="G43" s="410" t="s">
        <v>722</v>
      </c>
      <c r="H43" s="410"/>
      <c r="I43" s="410"/>
      <c r="J43" s="410"/>
      <c r="K43" s="410"/>
    </row>
    <row r="44" spans="1:15" hidden="1">
      <c r="E44" s="417"/>
      <c r="F44" s="416"/>
      <c r="G44" s="411" t="s">
        <v>419</v>
      </c>
      <c r="H44" s="411"/>
      <c r="I44" s="411"/>
      <c r="J44" s="415" t="s">
        <v>606</v>
      </c>
      <c r="K44" s="415"/>
      <c r="L44" s="17"/>
      <c r="M44" s="17"/>
      <c r="N44" s="17"/>
      <c r="O44" s="342"/>
    </row>
    <row r="45" spans="1:15" ht="27" hidden="1">
      <c r="E45" s="417"/>
      <c r="F45" s="416"/>
      <c r="G45" s="412" t="s">
        <v>420</v>
      </c>
      <c r="H45" s="412" t="s">
        <v>90</v>
      </c>
      <c r="I45" s="413" t="s">
        <v>605</v>
      </c>
      <c r="J45" s="410"/>
      <c r="K45" s="410"/>
      <c r="L45" s="17"/>
      <c r="M45" s="17"/>
      <c r="N45" s="17"/>
      <c r="O45" s="343"/>
    </row>
    <row r="46" spans="1:15" hidden="1">
      <c r="E46" s="417"/>
      <c r="F46" s="416"/>
      <c r="G46" s="148"/>
      <c r="H46" s="148"/>
      <c r="I46" s="148"/>
      <c r="J46" s="410"/>
      <c r="K46" s="410"/>
      <c r="L46" s="17"/>
      <c r="M46" s="17"/>
      <c r="N46" s="17"/>
      <c r="O46" s="342"/>
    </row>
    <row r="47" spans="1:15" hidden="1">
      <c r="E47" s="417"/>
      <c r="F47" s="416" t="s">
        <v>723</v>
      </c>
      <c r="G47" s="148"/>
      <c r="H47" s="148"/>
      <c r="I47" s="148"/>
      <c r="J47" s="410"/>
      <c r="K47" s="410"/>
    </row>
    <row r="48" spans="1:15" hidden="1">
      <c r="E48" s="417"/>
      <c r="F48" s="416" t="s">
        <v>421</v>
      </c>
      <c r="G48" s="414"/>
      <c r="H48" s="414"/>
      <c r="I48" s="414"/>
      <c r="J48" s="410"/>
      <c r="K48" s="414"/>
    </row>
    <row r="49" spans="2:14" hidden="1">
      <c r="E49" s="417"/>
      <c r="F49" s="416" t="s">
        <v>447</v>
      </c>
      <c r="G49" s="414"/>
      <c r="H49" s="414"/>
      <c r="I49" s="414"/>
      <c r="J49" s="410"/>
      <c r="K49" s="414"/>
    </row>
    <row r="50" spans="2:14" hidden="1">
      <c r="E50" s="417"/>
      <c r="F50" s="416" t="s">
        <v>720</v>
      </c>
      <c r="G50" s="414"/>
      <c r="H50" s="414"/>
      <c r="I50" s="414"/>
      <c r="J50" s="410"/>
      <c r="K50" s="414"/>
    </row>
    <row r="51" spans="2:14" hidden="1">
      <c r="E51" s="417"/>
      <c r="F51" s="416" t="s">
        <v>248</v>
      </c>
      <c r="G51" s="414"/>
      <c r="H51" s="414"/>
      <c r="I51" s="414"/>
      <c r="J51" s="410"/>
      <c r="K51" s="414"/>
    </row>
    <row r="52" spans="2:14" hidden="1"/>
    <row r="53" spans="2:14" hidden="1"/>
    <row r="54" spans="2:14" hidden="1">
      <c r="K54" s="94"/>
      <c r="L54" s="17"/>
      <c r="M54" s="17"/>
      <c r="N54" s="17"/>
    </row>
    <row r="55" spans="2:14" hidden="1"/>
    <row r="56" spans="2:14" hidden="1"/>
    <row r="57" spans="2:14" ht="12.75" customHeight="1">
      <c r="B57" s="6" t="s">
        <v>607</v>
      </c>
      <c r="C57" s="6"/>
      <c r="D57" s="6"/>
      <c r="E57" s="6"/>
      <c r="F57" s="6"/>
      <c r="G57" s="123"/>
      <c r="H57" s="124"/>
    </row>
    <row r="58" spans="2:14">
      <c r="B58" s="3025" t="s">
        <v>337</v>
      </c>
      <c r="C58" s="8"/>
      <c r="D58" s="8"/>
      <c r="E58" s="3038" t="s">
        <v>338</v>
      </c>
      <c r="F58" s="23" t="s">
        <v>339</v>
      </c>
      <c r="G58" s="3025" t="s">
        <v>340</v>
      </c>
      <c r="H58" s="6"/>
    </row>
    <row r="59" spans="2:14" ht="66.599999999999994">
      <c r="B59" s="3037"/>
      <c r="C59" s="15"/>
      <c r="D59" s="15"/>
      <c r="E59" s="3039"/>
      <c r="F59" s="23" t="s">
        <v>341</v>
      </c>
      <c r="G59" s="3026"/>
      <c r="H59" s="6"/>
    </row>
    <row r="60" spans="2:14" ht="16.8">
      <c r="B60" s="3037"/>
      <c r="C60" s="15"/>
      <c r="D60" s="15"/>
      <c r="E60" s="98" t="s">
        <v>342</v>
      </c>
      <c r="F60" s="98" t="s">
        <v>343</v>
      </c>
      <c r="G60" s="13"/>
      <c r="H60" s="124" t="s">
        <v>336</v>
      </c>
    </row>
    <row r="61" spans="2:14" ht="15.75" customHeight="1">
      <c r="B61" s="3026"/>
      <c r="C61" s="10"/>
      <c r="D61" s="10"/>
      <c r="E61" s="13" t="s">
        <v>99</v>
      </c>
      <c r="F61" s="13" t="s">
        <v>344</v>
      </c>
      <c r="G61" s="13" t="s">
        <v>344</v>
      </c>
      <c r="H61" s="123"/>
    </row>
    <row r="62" spans="2:14">
      <c r="B62" s="13" t="s">
        <v>292</v>
      </c>
      <c r="C62" s="583"/>
      <c r="D62" s="583"/>
      <c r="E62" s="584">
        <v>364484.63</v>
      </c>
      <c r="F62" s="584">
        <v>151.36000000000001</v>
      </c>
      <c r="G62" s="584">
        <v>671</v>
      </c>
      <c r="H62" s="585">
        <f>(E62*12/(G62-F62))</f>
        <v>8417.0109306442937</v>
      </c>
    </row>
    <row r="63" spans="2:14">
      <c r="B63" s="13" t="s">
        <v>276</v>
      </c>
      <c r="C63" s="13"/>
      <c r="D63" s="13"/>
      <c r="E63" s="224">
        <v>684381.17</v>
      </c>
      <c r="F63" s="224">
        <v>162.12</v>
      </c>
      <c r="G63" s="224">
        <v>1153.6500000000001</v>
      </c>
      <c r="H63" s="123">
        <f>(E63*12/(G63-F63))</f>
        <v>8282.7287525339634</v>
      </c>
    </row>
    <row r="64" spans="2:14">
      <c r="B64" s="23" t="s">
        <v>348</v>
      </c>
      <c r="C64" s="23"/>
      <c r="D64" s="23"/>
      <c r="E64" s="224">
        <v>942948.34</v>
      </c>
      <c r="F64" s="224">
        <v>414.16</v>
      </c>
      <c r="G64" s="224">
        <v>1847.1</v>
      </c>
      <c r="H64" s="123">
        <f>(E64*12/(G64-F64))</f>
        <v>7896.6181975518875</v>
      </c>
    </row>
    <row r="65" spans="2:8">
      <c r="B65" s="13" t="s">
        <v>280</v>
      </c>
      <c r="C65" s="583"/>
      <c r="D65" s="583"/>
      <c r="E65" s="584">
        <v>1640145.12</v>
      </c>
      <c r="F65" s="584">
        <v>472.06</v>
      </c>
      <c r="G65" s="584">
        <v>2747.68</v>
      </c>
      <c r="H65" s="585">
        <f>(E65*12/(G65-F65))</f>
        <v>8648.9578400611717</v>
      </c>
    </row>
    <row r="66" spans="2:8">
      <c r="B66" s="374" t="s">
        <v>449</v>
      </c>
      <c r="C66" s="374"/>
      <c r="D66" s="374"/>
      <c r="E66" s="375">
        <v>133702.84</v>
      </c>
      <c r="F66" s="375">
        <v>150</v>
      </c>
      <c r="G66" s="375">
        <v>437.28</v>
      </c>
      <c r="H66" s="229">
        <f>(E66*12/(G66-F66))</f>
        <v>5584.9139515455308</v>
      </c>
    </row>
    <row r="67" spans="2:8">
      <c r="B67" s="55"/>
      <c r="C67" s="55"/>
      <c r="D67" s="55"/>
      <c r="E67" s="55"/>
      <c r="F67" s="55"/>
      <c r="G67" s="55"/>
      <c r="H67" s="55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1">
    <tabColor theme="9" tint="0.59999389629810485"/>
  </sheetPr>
  <dimension ref="A1:S67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7.6640625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9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721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57"/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395</v>
      </c>
      <c r="J16" s="255"/>
      <c r="K16" s="256"/>
      <c r="L16" s="649" t="s">
        <v>713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17.399999999999999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>
        <f>'НВВ на содержание'!G8</f>
        <v>2006.8</v>
      </c>
      <c r="J19" s="285" t="e">
        <f>E40*E41/1000</f>
        <v>#REF!</v>
      </c>
      <c r="K19" s="286" t="e">
        <f>ROUND((I19+J19),1)</f>
        <v>#REF!</v>
      </c>
      <c r="L19" s="287"/>
      <c r="M19" s="288"/>
      <c r="N19" s="289">
        <f>N23-N31+N34</f>
        <v>15731.434711089551</v>
      </c>
      <c r="O19" s="276" t="e">
        <f>$E$40*$E$41/1000</f>
        <v>#REF!</v>
      </c>
      <c r="Q19" s="1294">
        <f>N23+K34-N32-K33</f>
        <v>15641.090771412131</v>
      </c>
      <c r="R19" s="1296"/>
      <c r="S19" s="1297"/>
    </row>
    <row r="20" spans="1:19" ht="16.2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 t="e">
        <f>I23+I34-I31</f>
        <v>#REF!</v>
      </c>
      <c r="J20" s="294">
        <f>ROUND((J23+J34-J31),1)</f>
        <v>3768.4</v>
      </c>
      <c r="K20" s="286" t="e">
        <f>ROUND((I20+J20),1)</f>
        <v>#REF!</v>
      </c>
      <c r="L20" s="295"/>
      <c r="M20" s="211"/>
      <c r="N20" s="296"/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 t="e">
        <f>K19-K20</f>
        <v>#REF!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 t="e">
        <f>SUM(I25:I29)</f>
        <v>#REF!</v>
      </c>
      <c r="J23" s="321">
        <f>SUM(J25:J29)</f>
        <v>3817.2356842000013</v>
      </c>
      <c r="K23" s="322" t="e">
        <f>I23+J23</f>
        <v>#REF!</v>
      </c>
      <c r="L23" s="295"/>
      <c r="M23" s="211"/>
      <c r="N23" s="322">
        <f>SUM(N25:N29)</f>
        <v>17138.600000000002</v>
      </c>
      <c r="O23" s="609" t="e">
        <f>N23-K23</f>
        <v>#REF!</v>
      </c>
      <c r="P23" s="623" t="e">
        <f>N19-K20</f>
        <v>#REF!</v>
      </c>
    </row>
    <row r="24" spans="1:19" ht="27.75" customHeight="1">
      <c r="A24" s="282"/>
      <c r="B24" s="280" t="s">
        <v>414</v>
      </c>
      <c r="C24" s="605" t="s">
        <v>715</v>
      </c>
      <c r="D24" s="1284" t="e">
        <f>SUM(D25:D29)</f>
        <v>#REF!</v>
      </c>
      <c r="E24" s="1283">
        <f>SUM(E25:E29)</f>
        <v>13071.400000000001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-43181.089743589786</v>
      </c>
      <c r="D25" s="1284">
        <f>'Баланс электрической мощности'!D28-'пл.об расч.по инд.межсет.тар.11'!D33-'пл.об расч.по инд.межсет.тар.11'!D37-1.56</f>
        <v>-0.13727999999999985</v>
      </c>
      <c r="E25" s="1283">
        <f>'Прилож.2 структура 2011г.-2012г'!C35</f>
        <v>5927.9</v>
      </c>
      <c r="F25" s="325">
        <f>E62</f>
        <v>364484.63</v>
      </c>
      <c r="G25" s="326">
        <f>F62</f>
        <v>151.36000000000001</v>
      </c>
      <c r="H25" s="327">
        <f>G62</f>
        <v>671</v>
      </c>
      <c r="I25" s="556">
        <f>D25*F25*12/1000</f>
        <v>-600.43740007679935</v>
      </c>
      <c r="J25" s="556">
        <f>E25*G25/1000</f>
        <v>897.24694399999998</v>
      </c>
      <c r="K25" s="557">
        <f>I25+J25</f>
        <v>296.80954392320064</v>
      </c>
      <c r="L25" s="1286"/>
      <c r="M25" s="556"/>
      <c r="N25" s="557">
        <f>ROUND((E25*H25/1000),1)</f>
        <v>3977.6</v>
      </c>
    </row>
    <row r="26" spans="1:19">
      <c r="A26" s="290"/>
      <c r="B26" s="324" t="s">
        <v>415</v>
      </c>
      <c r="C26" s="1299">
        <f>E26/D26</f>
        <v>9031.6852817413674</v>
      </c>
      <c r="D26" s="1284">
        <f>'Баланс электрической мощности'!F28-0.04</f>
        <v>0.73551499999999992</v>
      </c>
      <c r="E26" s="1283">
        <f>'Прилож.2 структура 2011г.-2012г'!E35</f>
        <v>6642.9400000000005</v>
      </c>
      <c r="F26" s="325">
        <f t="shared" ref="F26:H28" si="0">E64</f>
        <v>942948.34</v>
      </c>
      <c r="G26" s="326">
        <f t="shared" si="0"/>
        <v>414.16</v>
      </c>
      <c r="H26" s="327">
        <f t="shared" si="0"/>
        <v>1847.1</v>
      </c>
      <c r="I26" s="556">
        <f>D26*F26*12/1000</f>
        <v>8322.6317795411978</v>
      </c>
      <c r="J26" s="556">
        <f>E26*G26/1000</f>
        <v>2751.2400304000007</v>
      </c>
      <c r="K26" s="557">
        <f>I26+J26</f>
        <v>11073.871809941198</v>
      </c>
      <c r="L26" s="1286"/>
      <c r="M26" s="556"/>
      <c r="N26" s="557">
        <f>ROUND((E26*H26/1000),1)</f>
        <v>12270.2</v>
      </c>
    </row>
    <row r="27" spans="1:19">
      <c r="A27" s="290"/>
      <c r="B27" s="328" t="s">
        <v>1226</v>
      </c>
      <c r="C27" s="1299" t="e">
        <f>E27/D27</f>
        <v>#REF!</v>
      </c>
      <c r="D27" s="1284" t="e">
        <f>'Баланс электрической мощности'!G28-'пл.об расч.по инд.межсет.тар.11'!D29</f>
        <v>#REF!</v>
      </c>
      <c r="E27" s="1283">
        <f>'Прилож.2 структура 2011г.-2012г'!F35</f>
        <v>290.83000000000004</v>
      </c>
      <c r="F27" s="325">
        <f t="shared" si="0"/>
        <v>1640145.12</v>
      </c>
      <c r="G27" s="326">
        <f t="shared" si="0"/>
        <v>472.06</v>
      </c>
      <c r="H27" s="327">
        <f t="shared" si="0"/>
        <v>2747.68</v>
      </c>
      <c r="I27" s="556" t="e">
        <f>D27*F27*12/1000</f>
        <v>#REF!</v>
      </c>
      <c r="J27" s="556">
        <f>E27*G27/1000</f>
        <v>137.28920980000001</v>
      </c>
      <c r="K27" s="557" t="e">
        <f>I27+J27</f>
        <v>#REF!</v>
      </c>
      <c r="L27" s="1286"/>
      <c r="M27" s="556"/>
      <c r="N27" s="557">
        <f>ROUND((E27*H27/1000),1)</f>
        <v>799.1</v>
      </c>
    </row>
    <row r="28" spans="1:19" s="391" customFormat="1" ht="28.2">
      <c r="A28" s="290"/>
      <c r="B28" s="328" t="s">
        <v>1225</v>
      </c>
      <c r="C28" s="1299" t="e">
        <f>E28/D28</f>
        <v>#REF!</v>
      </c>
      <c r="D28" s="1284" t="e">
        <f>#REF!</f>
        <v>#REF!</v>
      </c>
      <c r="E28" s="1283">
        <f>'Прилож.2 структура 2011г.-2012г'!E26</f>
        <v>21.36</v>
      </c>
      <c r="F28" s="325">
        <f t="shared" si="0"/>
        <v>133702.84</v>
      </c>
      <c r="G28" s="326">
        <f t="shared" si="0"/>
        <v>150</v>
      </c>
      <c r="H28" s="327">
        <f t="shared" si="0"/>
        <v>437.28</v>
      </c>
      <c r="I28" s="556" t="e">
        <f>D28*F28*12/1000</f>
        <v>#REF!</v>
      </c>
      <c r="J28" s="556">
        <f>E28*G28/1000</f>
        <v>3.2040000000000002</v>
      </c>
      <c r="K28" s="557" t="e">
        <f>I28+J28</f>
        <v>#REF!</v>
      </c>
      <c r="L28" s="1286"/>
      <c r="M28" s="556"/>
      <c r="N28" s="557">
        <f>ROUND((E28*H28/1000),1)</f>
        <v>9.3000000000000007</v>
      </c>
    </row>
    <row r="29" spans="1:19" s="391" customFormat="1" ht="28.8" thickBot="1">
      <c r="A29" s="401"/>
      <c r="B29" s="328" t="s">
        <v>416</v>
      </c>
      <c r="C29" s="627" t="e">
        <f>E29/D29</f>
        <v>#REF!</v>
      </c>
      <c r="D29" s="1285" t="e">
        <f>#REF!</f>
        <v>#REF!</v>
      </c>
      <c r="E29" s="330">
        <f>'Прилож.2 структура 2011г.-2012г'!F26</f>
        <v>188.37</v>
      </c>
      <c r="F29" s="405">
        <f>F28</f>
        <v>133702.84</v>
      </c>
      <c r="G29" s="406">
        <f>G28</f>
        <v>150</v>
      </c>
      <c r="H29" s="407">
        <f>G66</f>
        <v>437.28</v>
      </c>
      <c r="I29" s="331" t="e">
        <f>D29*F29*12/1000</f>
        <v>#REF!</v>
      </c>
      <c r="J29" s="332">
        <f>E29*G29/1000</f>
        <v>28.255500000000001</v>
      </c>
      <c r="K29" s="333" t="e">
        <f>I29+J29</f>
        <v>#REF!</v>
      </c>
      <c r="L29" s="331"/>
      <c r="M29" s="1287"/>
      <c r="N29" s="333">
        <f>ROUND((E29*H29/1000),1)</f>
        <v>82.4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SUM(I32:I33)</f>
        <v>5162.2075864799999</v>
      </c>
      <c r="J31" s="556">
        <f>SUM(J32:J33)</f>
        <v>1930.7856701799999</v>
      </c>
      <c r="K31" s="1298">
        <f>SUM(K32:K33)</f>
        <v>7092.99325666</v>
      </c>
      <c r="L31" s="615">
        <f>SUM(L33:L33)</f>
        <v>0</v>
      </c>
      <c r="M31" s="465">
        <f>SUM(M33:M33)</f>
        <v>0</v>
      </c>
      <c r="N31" s="628">
        <f>SUM(N32:N33)</f>
        <v>7010.0425975200005</v>
      </c>
    </row>
    <row r="32" spans="1:19" ht="22.5" customHeight="1">
      <c r="A32" s="339">
        <v>1</v>
      </c>
      <c r="B32" s="280" t="s">
        <v>1231</v>
      </c>
      <c r="C32" s="626">
        <f>E32/D32</f>
        <v>7183.2162162162167</v>
      </c>
      <c r="D32" s="1291">
        <f>'П1.30 - 07.06.11г.'!D137</f>
        <v>7.3999999999999996E-2</v>
      </c>
      <c r="E32" s="1292">
        <f>'П1.30 - 07.06.11г.'!C137</f>
        <v>531.55799999999999</v>
      </c>
      <c r="F32" s="613">
        <v>279175.21000000002</v>
      </c>
      <c r="G32" s="614">
        <v>108.71</v>
      </c>
      <c r="H32" s="1293">
        <f>K32/E32*1000+12.17</f>
        <v>587.25918435993799</v>
      </c>
      <c r="I32" s="295">
        <f>$D32*$F32*12/1000</f>
        <v>247.90758647999999</v>
      </c>
      <c r="J32" s="211">
        <f>$E32*$G32/1000</f>
        <v>57.785670179999997</v>
      </c>
      <c r="K32" s="296">
        <f>I32+J32</f>
        <v>305.69325665999997</v>
      </c>
      <c r="L32" s="465"/>
      <c r="M32" s="465"/>
      <c r="N32" s="603">
        <f>E32*H32/1000</f>
        <v>312.16231751999993</v>
      </c>
    </row>
    <row r="33" spans="1:15" ht="22.5" customHeight="1" thickBot="1">
      <c r="A33" s="339">
        <v>1</v>
      </c>
      <c r="B33" s="280" t="s">
        <v>1232</v>
      </c>
      <c r="C33" s="626">
        <f>E33/D33</f>
        <v>4242.727272727273</v>
      </c>
      <c r="D33" s="323">
        <v>0.22</v>
      </c>
      <c r="E33" s="1282">
        <v>933.4</v>
      </c>
      <c r="F33" s="613">
        <v>1861465.03</v>
      </c>
      <c r="G33" s="614">
        <v>2006.61</v>
      </c>
      <c r="H33" s="1293">
        <f>K33/E33*1000-95.8</f>
        <v>7175.7877437325915</v>
      </c>
      <c r="I33" s="556">
        <f>ROUND(($D$33*$F$33*12/1000),1)</f>
        <v>4914.3</v>
      </c>
      <c r="J33" s="556">
        <f>ROUND(($E$33*$G$33/1000),1)</f>
        <v>1873</v>
      </c>
      <c r="K33" s="557">
        <f>I33+J33</f>
        <v>6787.3</v>
      </c>
      <c r="L33" s="465"/>
      <c r="M33" s="465"/>
      <c r="N33" s="603">
        <f>E33*H33/1000</f>
        <v>6697.8802800000003</v>
      </c>
    </row>
    <row r="34" spans="1:15" ht="47.4" thickBot="1">
      <c r="A34" s="637" t="s">
        <v>422</v>
      </c>
      <c r="B34" s="638" t="s">
        <v>1230</v>
      </c>
      <c r="C34" s="1302"/>
      <c r="D34" s="639"/>
      <c r="E34" s="640"/>
      <c r="F34" s="641" t="s">
        <v>420</v>
      </c>
      <c r="G34" s="642" t="s">
        <v>90</v>
      </c>
      <c r="H34" s="643" t="s">
        <v>90</v>
      </c>
      <c r="I34" s="644">
        <f>SUM(I35:I37)</f>
        <v>3719.9817344160001</v>
      </c>
      <c r="J34" s="645">
        <f>SUM(J35:J37)</f>
        <v>1881.9713545161289</v>
      </c>
      <c r="K34" s="646">
        <f>SUM(K35:K37)</f>
        <v>5601.9530889321295</v>
      </c>
      <c r="L34" s="647">
        <f>SUM(L36:L37)</f>
        <v>0</v>
      </c>
      <c r="M34" s="648">
        <f>SUM(M36:M37)</f>
        <v>0</v>
      </c>
      <c r="N34" s="646">
        <f>SUM(N35:N37)</f>
        <v>5602.8773086095489</v>
      </c>
    </row>
    <row r="35" spans="1:15">
      <c r="A35" s="629">
        <v>1</v>
      </c>
      <c r="B35" s="363" t="s">
        <v>421</v>
      </c>
      <c r="C35" s="630">
        <f>E35/D35</f>
        <v>10916.453201745215</v>
      </c>
      <c r="D35" s="1289">
        <f>'Баланс электрической мощности'!C8</f>
        <v>2.8220999999999998</v>
      </c>
      <c r="E35" s="1288">
        <f>'Прилож.2 структура 2011г.-2012г'!G23+'Прилож.2 структура 2011г.-2012г'!G21+'Прилож.2 структура 2011г.-2012г'!G17</f>
        <v>30807.322580645166</v>
      </c>
      <c r="F35" s="631">
        <v>451.08</v>
      </c>
      <c r="G35" s="632">
        <v>0.82</v>
      </c>
      <c r="H35" s="1293">
        <f>K35/E35*1000+0.03</f>
        <v>1.3458533600578828</v>
      </c>
      <c r="I35" s="633">
        <f>$D$35*$F$35*12/1000</f>
        <v>15.275914415999997</v>
      </c>
      <c r="J35" s="634">
        <f>$E$35*$G$35/1000</f>
        <v>25.262004516129036</v>
      </c>
      <c r="K35" s="635">
        <f>I35+J35</f>
        <v>40.537918932129031</v>
      </c>
      <c r="L35" s="636"/>
      <c r="M35" s="634"/>
      <c r="N35" s="635">
        <f>E35*H35/1000</f>
        <v>41.462138609548383</v>
      </c>
    </row>
    <row r="36" spans="1:15">
      <c r="A36" s="364">
        <v>2</v>
      </c>
      <c r="B36" s="280" t="s">
        <v>447</v>
      </c>
      <c r="C36" s="626">
        <f>E36/D36</f>
        <v>8643.75</v>
      </c>
      <c r="D36" s="323">
        <f>1.56+0.04</f>
        <v>1.6</v>
      </c>
      <c r="E36" s="606">
        <f>13465+365</f>
        <v>13830</v>
      </c>
      <c r="F36" s="616">
        <v>169906.8</v>
      </c>
      <c r="G36" s="617">
        <v>114.55</v>
      </c>
      <c r="H36" s="618">
        <f>K36/E36*1000</f>
        <v>350.42928850325382</v>
      </c>
      <c r="I36" s="295">
        <f>$D36*$F36*12/1000</f>
        <v>3262.21056</v>
      </c>
      <c r="J36" s="211">
        <f>$E36*$G36/1000</f>
        <v>1584.2265</v>
      </c>
      <c r="K36" s="296">
        <f>I36+J36</f>
        <v>4846.4370600000002</v>
      </c>
      <c r="L36" s="404"/>
      <c r="M36" s="211"/>
      <c r="N36" s="296">
        <f>E36*H36/1000</f>
        <v>4846.4370600000002</v>
      </c>
    </row>
    <row r="37" spans="1:15" ht="16.2" thickBot="1">
      <c r="A37" s="340">
        <v>3</v>
      </c>
      <c r="B37" s="292" t="s">
        <v>1233</v>
      </c>
      <c r="C37" s="627">
        <f>E37/D37</f>
        <v>4553.3333333333339</v>
      </c>
      <c r="D37" s="329">
        <v>0.15</v>
      </c>
      <c r="E37" s="607">
        <v>683</v>
      </c>
      <c r="F37" s="619">
        <v>245830.7</v>
      </c>
      <c r="G37" s="620">
        <v>398.95</v>
      </c>
      <c r="H37" s="621">
        <f>K37/E37*1000</f>
        <v>1046.8200732064422</v>
      </c>
      <c r="I37" s="612">
        <f>$D$37*$F$37*12/1000</f>
        <v>442.49526000000003</v>
      </c>
      <c r="J37" s="611">
        <f>$E$37*$G$37/1000</f>
        <v>272.48284999999998</v>
      </c>
      <c r="K37" s="650">
        <f>I37+J37</f>
        <v>714.97811000000002</v>
      </c>
      <c r="L37" s="624"/>
      <c r="M37" s="625"/>
      <c r="N37" s="333">
        <f>E37*H37/1000</f>
        <v>714.97811000000002</v>
      </c>
    </row>
    <row r="38" spans="1:15" hidden="1">
      <c r="F38" s="94"/>
      <c r="G38" s="94"/>
      <c r="H38" s="94"/>
      <c r="L38" s="17"/>
      <c r="M38" s="17"/>
      <c r="N38" s="17"/>
    </row>
    <row r="39" spans="1:15">
      <c r="B39" s="52" t="s">
        <v>352</v>
      </c>
      <c r="C39" s="52"/>
      <c r="L39" s="17"/>
      <c r="M39" s="17"/>
      <c r="N39" s="17"/>
    </row>
    <row r="40" spans="1:15">
      <c r="D40" s="52" t="s">
        <v>1234</v>
      </c>
      <c r="E40" s="1305">
        <f>'Баланс электроэнергии'!C19*1000</f>
        <v>1450.8347700000002</v>
      </c>
      <c r="F40" s="17" t="s">
        <v>423</v>
      </c>
      <c r="H40" s="608">
        <f>E36+E37+E29+E40</f>
        <v>16152.20477</v>
      </c>
      <c r="L40" s="17"/>
      <c r="M40" s="17"/>
      <c r="N40" s="17"/>
    </row>
    <row r="41" spans="1:15">
      <c r="D41" s="52" t="s">
        <v>424</v>
      </c>
      <c r="E41" s="341" t="e">
        <f>#REF!*1000</f>
        <v>#REF!</v>
      </c>
      <c r="F41" s="17" t="s">
        <v>425</v>
      </c>
      <c r="L41" s="17"/>
      <c r="M41" s="17"/>
      <c r="N41" s="17"/>
    </row>
    <row r="42" spans="1:15" hidden="1"/>
    <row r="43" spans="1:15" hidden="1">
      <c r="E43" s="17" t="s">
        <v>425</v>
      </c>
      <c r="G43" s="410" t="s">
        <v>722</v>
      </c>
      <c r="H43" s="410"/>
      <c r="I43" s="410"/>
      <c r="J43" s="410"/>
      <c r="K43" s="410"/>
    </row>
    <row r="44" spans="1:15" hidden="1">
      <c r="E44" s="417"/>
      <c r="F44" s="416"/>
      <c r="G44" s="411" t="s">
        <v>419</v>
      </c>
      <c r="H44" s="411"/>
      <c r="I44" s="411"/>
      <c r="J44" s="415" t="s">
        <v>606</v>
      </c>
      <c r="K44" s="415"/>
      <c r="L44" s="17"/>
      <c r="M44" s="17"/>
      <c r="N44" s="17"/>
      <c r="O44" s="342"/>
    </row>
    <row r="45" spans="1:15" ht="27" hidden="1">
      <c r="E45" s="417"/>
      <c r="F45" s="416"/>
      <c r="G45" s="412" t="s">
        <v>420</v>
      </c>
      <c r="H45" s="412" t="s">
        <v>90</v>
      </c>
      <c r="I45" s="413" t="s">
        <v>605</v>
      </c>
      <c r="J45" s="410"/>
      <c r="K45" s="410"/>
      <c r="L45" s="17"/>
      <c r="M45" s="17"/>
      <c r="N45" s="17"/>
      <c r="O45" s="343"/>
    </row>
    <row r="46" spans="1:15" hidden="1">
      <c r="E46" s="417"/>
      <c r="F46" s="416"/>
      <c r="G46" s="148"/>
      <c r="H46" s="148"/>
      <c r="I46" s="148"/>
      <c r="J46" s="410"/>
      <c r="K46" s="410"/>
      <c r="L46" s="17"/>
      <c r="M46" s="17"/>
      <c r="N46" s="17"/>
      <c r="O46" s="342"/>
    </row>
    <row r="47" spans="1:15" hidden="1">
      <c r="E47" s="417"/>
      <c r="F47" s="416" t="s">
        <v>723</v>
      </c>
      <c r="G47" s="148"/>
      <c r="H47" s="148"/>
      <c r="I47" s="148"/>
      <c r="J47" s="410"/>
      <c r="K47" s="410"/>
    </row>
    <row r="48" spans="1:15" hidden="1">
      <c r="E48" s="417"/>
      <c r="F48" s="416" t="s">
        <v>421</v>
      </c>
      <c r="G48" s="414"/>
      <c r="H48" s="414"/>
      <c r="I48" s="414"/>
      <c r="J48" s="410"/>
      <c r="K48" s="414"/>
    </row>
    <row r="49" spans="2:14" hidden="1">
      <c r="E49" s="417"/>
      <c r="F49" s="416" t="s">
        <v>447</v>
      </c>
      <c r="G49" s="414"/>
      <c r="H49" s="414"/>
      <c r="I49" s="414"/>
      <c r="J49" s="410"/>
      <c r="K49" s="414"/>
    </row>
    <row r="50" spans="2:14" hidden="1">
      <c r="E50" s="417"/>
      <c r="F50" s="416" t="s">
        <v>720</v>
      </c>
      <c r="G50" s="414"/>
      <c r="H50" s="414"/>
      <c r="I50" s="414"/>
      <c r="J50" s="410"/>
      <c r="K50" s="414"/>
    </row>
    <row r="51" spans="2:14" hidden="1">
      <c r="E51" s="417"/>
      <c r="F51" s="416" t="s">
        <v>248</v>
      </c>
      <c r="G51" s="414"/>
      <c r="H51" s="414"/>
      <c r="I51" s="414"/>
      <c r="J51" s="410"/>
      <c r="K51" s="414"/>
    </row>
    <row r="52" spans="2:14" hidden="1"/>
    <row r="53" spans="2:14" hidden="1"/>
    <row r="54" spans="2:14" hidden="1">
      <c r="K54" s="94"/>
      <c r="L54" s="17"/>
      <c r="M54" s="17"/>
      <c r="N54" s="17"/>
    </row>
    <row r="55" spans="2:14" hidden="1"/>
    <row r="56" spans="2:14" hidden="1"/>
    <row r="57" spans="2:14" ht="12.75" customHeight="1">
      <c r="B57" s="6" t="s">
        <v>607</v>
      </c>
      <c r="C57" s="6"/>
      <c r="D57" s="6"/>
      <c r="E57" s="6"/>
      <c r="F57" s="6"/>
      <c r="G57" s="123"/>
      <c r="H57" s="124"/>
    </row>
    <row r="58" spans="2:14">
      <c r="B58" s="3025" t="s">
        <v>337</v>
      </c>
      <c r="C58" s="8"/>
      <c r="D58" s="8"/>
      <c r="E58" s="3038" t="s">
        <v>338</v>
      </c>
      <c r="F58" s="23" t="s">
        <v>339</v>
      </c>
      <c r="G58" s="3025" t="s">
        <v>340</v>
      </c>
      <c r="H58" s="6"/>
    </row>
    <row r="59" spans="2:14" ht="66.599999999999994">
      <c r="B59" s="3037"/>
      <c r="C59" s="15"/>
      <c r="D59" s="15"/>
      <c r="E59" s="3039"/>
      <c r="F59" s="23" t="s">
        <v>341</v>
      </c>
      <c r="G59" s="3026"/>
      <c r="H59" s="6"/>
    </row>
    <row r="60" spans="2:14" ht="16.8">
      <c r="B60" s="3037"/>
      <c r="C60" s="15"/>
      <c r="D60" s="15"/>
      <c r="E60" s="98" t="s">
        <v>342</v>
      </c>
      <c r="F60" s="98" t="s">
        <v>343</v>
      </c>
      <c r="G60" s="13"/>
      <c r="H60" s="124" t="s">
        <v>336</v>
      </c>
    </row>
    <row r="61" spans="2:14" ht="15.75" customHeight="1">
      <c r="B61" s="3026"/>
      <c r="C61" s="10"/>
      <c r="D61" s="10"/>
      <c r="E61" s="13" t="s">
        <v>99</v>
      </c>
      <c r="F61" s="13" t="s">
        <v>344</v>
      </c>
      <c r="G61" s="13" t="s">
        <v>344</v>
      </c>
      <c r="H61" s="123"/>
    </row>
    <row r="62" spans="2:14">
      <c r="B62" s="13" t="s">
        <v>292</v>
      </c>
      <c r="C62" s="583"/>
      <c r="D62" s="583"/>
      <c r="E62" s="584">
        <v>364484.63</v>
      </c>
      <c r="F62" s="584">
        <v>151.36000000000001</v>
      </c>
      <c r="G62" s="584">
        <v>671</v>
      </c>
      <c r="H62" s="585">
        <f>(E62*12/(G62-F62))</f>
        <v>8417.0109306442937</v>
      </c>
    </row>
    <row r="63" spans="2:14">
      <c r="B63" s="13" t="s">
        <v>276</v>
      </c>
      <c r="C63" s="13"/>
      <c r="D63" s="13"/>
      <c r="E63" s="224">
        <v>684381.17</v>
      </c>
      <c r="F63" s="224">
        <v>162.12</v>
      </c>
      <c r="G63" s="224">
        <v>1153.6500000000001</v>
      </c>
      <c r="H63" s="123">
        <f>(E63*12/(G63-F63))</f>
        <v>8282.7287525339634</v>
      </c>
    </row>
    <row r="64" spans="2:14">
      <c r="B64" s="23" t="s">
        <v>348</v>
      </c>
      <c r="C64" s="23"/>
      <c r="D64" s="23"/>
      <c r="E64" s="224">
        <v>942948.34</v>
      </c>
      <c r="F64" s="224">
        <v>414.16</v>
      </c>
      <c r="G64" s="224">
        <v>1847.1</v>
      </c>
      <c r="H64" s="123">
        <f>(E64*12/(G64-F64))</f>
        <v>7896.6181975518875</v>
      </c>
    </row>
    <row r="65" spans="2:8">
      <c r="B65" s="13" t="s">
        <v>280</v>
      </c>
      <c r="C65" s="583"/>
      <c r="D65" s="583"/>
      <c r="E65" s="584">
        <v>1640145.12</v>
      </c>
      <c r="F65" s="584">
        <v>472.06</v>
      </c>
      <c r="G65" s="584">
        <v>2747.68</v>
      </c>
      <c r="H65" s="585">
        <f>(E65*12/(G65-F65))</f>
        <v>8648.9578400611717</v>
      </c>
    </row>
    <row r="66" spans="2:8">
      <c r="B66" s="374" t="s">
        <v>449</v>
      </c>
      <c r="C66" s="374"/>
      <c r="D66" s="374"/>
      <c r="E66" s="375">
        <v>133702.84</v>
      </c>
      <c r="F66" s="375">
        <v>150</v>
      </c>
      <c r="G66" s="375">
        <v>437.28</v>
      </c>
      <c r="H66" s="229">
        <f>(E66*12/(G66-F66))</f>
        <v>5584.9139515455308</v>
      </c>
    </row>
    <row r="67" spans="2:8">
      <c r="B67" s="55"/>
      <c r="C67" s="55"/>
      <c r="D67" s="55"/>
      <c r="E67" s="55"/>
      <c r="F67" s="55"/>
      <c r="G67" s="55"/>
      <c r="H67" s="55"/>
    </row>
  </sheetData>
  <mergeCells count="14">
    <mergeCell ref="F6:F7"/>
    <mergeCell ref="B15:B17"/>
    <mergeCell ref="D15:E16"/>
    <mergeCell ref="A15:A17"/>
    <mergeCell ref="B6:B9"/>
    <mergeCell ref="D6:D7"/>
    <mergeCell ref="E6:E7"/>
    <mergeCell ref="B58:B61"/>
    <mergeCell ref="E58:E59"/>
    <mergeCell ref="A22:A23"/>
    <mergeCell ref="B22:E23"/>
    <mergeCell ref="G58:G59"/>
    <mergeCell ref="A30:A31"/>
    <mergeCell ref="B30:B31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2">
    <tabColor theme="9" tint="0.59999389629810485"/>
  </sheetPr>
  <dimension ref="A1:S67"/>
  <sheetViews>
    <sheetView topLeftCell="A18" zoomScaleNormal="100" workbookViewId="0">
      <selection activeCell="K8" sqref="K8"/>
    </sheetView>
  </sheetViews>
  <sheetFormatPr defaultColWidth="9.109375" defaultRowHeight="15.6"/>
  <cols>
    <col min="1" max="1" width="6" style="17" customWidth="1"/>
    <col min="2" max="2" width="42.6640625" style="17" customWidth="1"/>
    <col min="3" max="3" width="9" style="17" customWidth="1"/>
    <col min="4" max="4" width="11.109375" style="17" customWidth="1"/>
    <col min="5" max="5" width="12.44140625" style="17" customWidth="1"/>
    <col min="6" max="6" width="12.88671875" style="17" customWidth="1"/>
    <col min="7" max="7" width="12.44140625" style="17" customWidth="1"/>
    <col min="8" max="8" width="11" style="17" customWidth="1"/>
    <col min="9" max="9" width="13.109375" style="17" customWidth="1"/>
    <col min="10" max="10" width="10.44140625" style="17" customWidth="1"/>
    <col min="11" max="11" width="12" style="17" customWidth="1"/>
    <col min="12" max="13" width="9" style="94" customWidth="1"/>
    <col min="14" max="14" width="12.5546875" style="94" bestFit="1" customWidth="1"/>
    <col min="15" max="15" width="9.109375" style="17"/>
    <col min="16" max="16" width="10.44140625" style="17" customWidth="1"/>
    <col min="17" max="18" width="9.109375" style="17"/>
    <col min="19" max="19" width="11.6640625" style="17" customWidth="1"/>
    <col min="20" max="16384" width="9.109375" style="17"/>
  </cols>
  <sheetData>
    <row r="1" spans="1:14">
      <c r="A1" s="57" t="s">
        <v>721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230"/>
      <c r="M1" s="230"/>
      <c r="N1" s="230"/>
    </row>
    <row r="2" spans="1:14">
      <c r="A2" s="57" t="s">
        <v>727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230"/>
      <c r="M2" s="230"/>
      <c r="N2" s="230"/>
    </row>
    <row r="3" spans="1:14" ht="16.2" thickBot="1">
      <c r="A3" s="57"/>
      <c r="B3" s="67"/>
      <c r="C3" s="67"/>
      <c r="D3" s="67"/>
      <c r="E3" s="67"/>
      <c r="F3" s="67"/>
      <c r="G3" s="67"/>
      <c r="H3" s="67"/>
      <c r="I3" s="67"/>
      <c r="J3" s="67"/>
      <c r="K3" s="67"/>
      <c r="L3" s="230"/>
      <c r="M3" s="230"/>
      <c r="N3" s="230"/>
    </row>
    <row r="4" spans="1:14" ht="16.2" hidden="1" thickBot="1">
      <c r="B4" s="231" t="s">
        <v>383</v>
      </c>
      <c r="C4" s="231"/>
      <c r="D4" s="94"/>
      <c r="E4" s="94"/>
      <c r="F4" s="94"/>
      <c r="G4" s="94"/>
      <c r="H4" s="94"/>
      <c r="I4" s="94"/>
    </row>
    <row r="5" spans="1:14" ht="16.2" hidden="1" thickBot="1">
      <c r="B5" s="94"/>
      <c r="C5" s="94"/>
      <c r="D5" s="94"/>
      <c r="E5" s="94"/>
      <c r="H5" s="94"/>
      <c r="I5" s="94"/>
    </row>
    <row r="6" spans="1:14" ht="27.75" hidden="1" customHeight="1">
      <c r="B6" s="2967" t="s">
        <v>337</v>
      </c>
      <c r="C6" s="572"/>
      <c r="D6" s="3040" t="s">
        <v>338</v>
      </c>
      <c r="E6" s="3040" t="s">
        <v>385</v>
      </c>
      <c r="F6" s="3042" t="s">
        <v>340</v>
      </c>
    </row>
    <row r="7" spans="1:14" ht="48" hidden="1" customHeight="1">
      <c r="B7" s="2968"/>
      <c r="C7" s="573"/>
      <c r="D7" s="3041"/>
      <c r="E7" s="3041"/>
      <c r="F7" s="3042"/>
    </row>
    <row r="8" spans="1:14" ht="18.600000000000001" hidden="1" thickBot="1">
      <c r="B8" s="2968"/>
      <c r="C8" s="573"/>
      <c r="D8" s="232" t="s">
        <v>386</v>
      </c>
      <c r="E8" s="232" t="s">
        <v>387</v>
      </c>
      <c r="F8" s="43"/>
    </row>
    <row r="9" spans="1:14" ht="31.8" hidden="1" thickBot="1">
      <c r="B9" s="2969"/>
      <c r="C9" s="574"/>
      <c r="D9" s="43" t="s">
        <v>99</v>
      </c>
      <c r="E9" s="43" t="s">
        <v>90</v>
      </c>
      <c r="F9" s="43" t="s">
        <v>90</v>
      </c>
      <c r="G9" s="231" t="s">
        <v>336</v>
      </c>
    </row>
    <row r="10" spans="1:14" ht="16.2" hidden="1" thickBot="1">
      <c r="B10" s="43" t="s">
        <v>292</v>
      </c>
      <c r="C10" s="43"/>
      <c r="D10" s="233">
        <v>300621.82</v>
      </c>
      <c r="E10" s="233">
        <v>176.8</v>
      </c>
      <c r="F10" s="234">
        <v>592.41</v>
      </c>
      <c r="G10" s="235">
        <f>(D10*12/(F10-E10))</f>
        <v>8679.9206948822211</v>
      </c>
    </row>
    <row r="11" spans="1:14" ht="16.2" hidden="1" thickBot="1">
      <c r="B11" s="43" t="s">
        <v>276</v>
      </c>
      <c r="C11" s="43"/>
      <c r="D11" s="233">
        <v>490793.23</v>
      </c>
      <c r="E11" s="233">
        <v>180</v>
      </c>
      <c r="F11" s="234">
        <v>969.48</v>
      </c>
      <c r="G11" s="235">
        <f>(D11*12/(F11-E11))</f>
        <v>7459.9974160206712</v>
      </c>
      <c r="H11" s="236"/>
      <c r="I11" s="237"/>
      <c r="L11" s="238"/>
    </row>
    <row r="12" spans="1:14" ht="16.2" hidden="1" thickBot="1">
      <c r="B12" s="239" t="s">
        <v>348</v>
      </c>
      <c r="C12" s="239"/>
      <c r="D12" s="233">
        <v>680321</v>
      </c>
      <c r="E12" s="233">
        <v>210</v>
      </c>
      <c r="F12" s="234">
        <v>1441.35</v>
      </c>
      <c r="G12" s="235">
        <f>(D12*12/(F12-E12))</f>
        <v>6630.0012181751745</v>
      </c>
      <c r="H12" s="52" t="s">
        <v>388</v>
      </c>
    </row>
    <row r="13" spans="1:14" ht="16.2" hidden="1" thickBot="1">
      <c r="B13" s="43" t="s">
        <v>280</v>
      </c>
      <c r="C13" s="43"/>
      <c r="D13" s="233">
        <v>851305.82</v>
      </c>
      <c r="E13" s="233">
        <v>432</v>
      </c>
      <c r="F13" s="234">
        <v>2296.17</v>
      </c>
      <c r="G13" s="235">
        <f>(D13*12/(F13-E13))</f>
        <v>5480.0097845153605</v>
      </c>
      <c r="H13" s="240">
        <f>(365-53)*16</f>
        <v>4992</v>
      </c>
      <c r="I13" s="17" t="s">
        <v>382</v>
      </c>
      <c r="L13" s="94" t="s">
        <v>382</v>
      </c>
    </row>
    <row r="14" spans="1:14" ht="16.2" hidden="1" thickBot="1">
      <c r="B14" s="47"/>
      <c r="C14" s="47"/>
      <c r="D14" s="241"/>
      <c r="E14" s="241"/>
      <c r="F14" s="242"/>
      <c r="G14" s="235"/>
      <c r="H14" s="240"/>
    </row>
    <row r="15" spans="1:14" ht="16.2" thickBot="1">
      <c r="A15" s="3043"/>
      <c r="B15" s="3046" t="s">
        <v>389</v>
      </c>
      <c r="C15" s="576"/>
      <c r="D15" s="3049" t="s">
        <v>390</v>
      </c>
      <c r="E15" s="3050"/>
      <c r="F15" s="243" t="s">
        <v>391</v>
      </c>
      <c r="G15" s="244"/>
      <c r="H15" s="245"/>
      <c r="I15" s="246" t="s">
        <v>392</v>
      </c>
      <c r="J15" s="247"/>
      <c r="K15" s="247"/>
      <c r="L15" s="248"/>
      <c r="M15" s="249"/>
      <c r="N15" s="250"/>
    </row>
    <row r="16" spans="1:14" ht="27.6">
      <c r="A16" s="3044"/>
      <c r="B16" s="3047"/>
      <c r="C16" s="604"/>
      <c r="D16" s="3051"/>
      <c r="E16" s="3052"/>
      <c r="F16" s="251" t="s">
        <v>393</v>
      </c>
      <c r="G16" s="252"/>
      <c r="H16" s="253" t="s">
        <v>394</v>
      </c>
      <c r="I16" s="254" t="s">
        <v>395</v>
      </c>
      <c r="J16" s="255"/>
      <c r="K16" s="256"/>
      <c r="L16" s="649" t="s">
        <v>713</v>
      </c>
      <c r="M16" s="257"/>
      <c r="N16" s="1290"/>
    </row>
    <row r="17" spans="1:19" s="266" customFormat="1" ht="80.25" customHeight="1">
      <c r="A17" s="3045"/>
      <c r="B17" s="3048"/>
      <c r="C17" s="575"/>
      <c r="D17" s="96" t="s">
        <v>396</v>
      </c>
      <c r="E17" s="258" t="s">
        <v>397</v>
      </c>
      <c r="F17" s="259" t="s">
        <v>398</v>
      </c>
      <c r="G17" s="13" t="s">
        <v>399</v>
      </c>
      <c r="H17" s="260" t="s">
        <v>400</v>
      </c>
      <c r="I17" s="261" t="s">
        <v>401</v>
      </c>
      <c r="J17" s="96" t="s">
        <v>402</v>
      </c>
      <c r="K17" s="262" t="s">
        <v>158</v>
      </c>
      <c r="L17" s="263" t="s">
        <v>725</v>
      </c>
      <c r="M17" s="264" t="s">
        <v>402</v>
      </c>
      <c r="N17" s="265" t="s">
        <v>158</v>
      </c>
    </row>
    <row r="18" spans="1:19" s="278" customFormat="1" ht="28.5" customHeight="1">
      <c r="A18" s="267">
        <v>1</v>
      </c>
      <c r="B18" s="268">
        <v>2</v>
      </c>
      <c r="C18" s="268"/>
      <c r="D18" s="269">
        <v>3</v>
      </c>
      <c r="E18" s="270">
        <v>4</v>
      </c>
      <c r="F18" s="271">
        <v>5</v>
      </c>
      <c r="G18" s="269">
        <v>6</v>
      </c>
      <c r="H18" s="272">
        <v>7</v>
      </c>
      <c r="I18" s="273" t="s">
        <v>403</v>
      </c>
      <c r="J18" s="274" t="s">
        <v>404</v>
      </c>
      <c r="K18" s="275" t="s">
        <v>405</v>
      </c>
      <c r="L18" s="271">
        <v>11</v>
      </c>
      <c r="M18" s="269">
        <v>12</v>
      </c>
      <c r="N18" s="272">
        <v>13</v>
      </c>
      <c r="O18" s="276" t="s">
        <v>406</v>
      </c>
      <c r="P18" s="277"/>
      <c r="Q18" s="1294" t="s">
        <v>1235</v>
      </c>
      <c r="R18" s="1295"/>
      <c r="S18" s="1296"/>
    </row>
    <row r="19" spans="1:19" ht="17.399999999999999">
      <c r="A19" s="279" t="s">
        <v>407</v>
      </c>
      <c r="B19" s="213" t="s">
        <v>408</v>
      </c>
      <c r="C19" s="213"/>
      <c r="D19" s="280"/>
      <c r="E19" s="281"/>
      <c r="F19" s="282"/>
      <c r="G19" s="280"/>
      <c r="H19" s="283"/>
      <c r="I19" s="284">
        <f>'НВВ на содержание'!G8</f>
        <v>2006.8</v>
      </c>
      <c r="J19" s="285">
        <f>2623.4</f>
        <v>2623.4</v>
      </c>
      <c r="K19" s="286">
        <f>ROUND((I19+J19),1)</f>
        <v>4630.2</v>
      </c>
      <c r="L19" s="287"/>
      <c r="M19" s="288"/>
      <c r="N19" s="289">
        <f>N23-N31+N34</f>
        <v>4083.7720925900003</v>
      </c>
      <c r="O19" s="276" t="e">
        <f>$E$40*$E$41/1000</f>
        <v>#REF!</v>
      </c>
      <c r="Q19" s="1294">
        <f>N23+K34-N32-K33</f>
        <v>3994.6604458200009</v>
      </c>
      <c r="R19" s="1296"/>
      <c r="S19" s="1297"/>
    </row>
    <row r="20" spans="1:19" ht="16.2" thickBot="1">
      <c r="A20" s="290"/>
      <c r="B20" s="280" t="s">
        <v>409</v>
      </c>
      <c r="C20" s="280"/>
      <c r="D20" s="280"/>
      <c r="E20" s="281"/>
      <c r="F20" s="291"/>
      <c r="G20" s="292"/>
      <c r="H20" s="293"/>
      <c r="I20" s="622">
        <f>I23+I34-I31</f>
        <v>3727.0075812000005</v>
      </c>
      <c r="J20" s="294">
        <f>ROUND((J23+J34-J31),1)</f>
        <v>1165.2</v>
      </c>
      <c r="K20" s="286">
        <f>ROUND((I20+J20),1)</f>
        <v>4892.2</v>
      </c>
      <c r="L20" s="295"/>
      <c r="M20" s="211"/>
      <c r="N20" s="296"/>
      <c r="Q20" s="276"/>
    </row>
    <row r="21" spans="1:19" ht="1.5" hidden="1" customHeight="1">
      <c r="A21" s="297"/>
      <c r="B21" s="298" t="s">
        <v>410</v>
      </c>
      <c r="C21" s="298"/>
      <c r="D21" s="298"/>
      <c r="E21" s="299"/>
      <c r="F21" s="300"/>
      <c r="G21" s="301"/>
      <c r="H21" s="302"/>
      <c r="I21" s="303">
        <f>K19-K20</f>
        <v>-262</v>
      </c>
      <c r="J21" s="304"/>
      <c r="K21" s="305"/>
      <c r="L21" s="306"/>
      <c r="M21" s="307"/>
      <c r="N21" s="308"/>
    </row>
    <row r="22" spans="1:19" ht="15.75" customHeight="1">
      <c r="A22" s="3027" t="s">
        <v>411</v>
      </c>
      <c r="B22" s="3029" t="s">
        <v>1228</v>
      </c>
      <c r="C22" s="3030"/>
      <c r="D22" s="3031"/>
      <c r="E22" s="3031"/>
      <c r="F22" s="309"/>
      <c r="G22" s="310"/>
      <c r="H22" s="311"/>
      <c r="I22" s="312" t="s">
        <v>412</v>
      </c>
      <c r="J22" s="313"/>
      <c r="K22" s="314"/>
      <c r="L22" s="315" t="s">
        <v>413</v>
      </c>
      <c r="M22" s="313"/>
      <c r="N22" s="316"/>
    </row>
    <row r="23" spans="1:19" ht="24" customHeight="1">
      <c r="A23" s="3028"/>
      <c r="B23" s="3032"/>
      <c r="C23" s="3033"/>
      <c r="D23" s="3033"/>
      <c r="E23" s="3033"/>
      <c r="F23" s="317"/>
      <c r="G23" s="318"/>
      <c r="H23" s="319"/>
      <c r="I23" s="320">
        <f>SUM(I25:I29)</f>
        <v>5163.4637591999999</v>
      </c>
      <c r="J23" s="321">
        <f>SUM(J25:J29)</f>
        <v>1214.0162800000001</v>
      </c>
      <c r="K23" s="322">
        <f>I23+J23</f>
        <v>6377.4800391999997</v>
      </c>
      <c r="L23" s="295"/>
      <c r="M23" s="211"/>
      <c r="N23" s="322">
        <f>SUM(N25:N29)</f>
        <v>5486.4000000000005</v>
      </c>
      <c r="O23" s="609">
        <f>N23-K23</f>
        <v>-891.08003919999919</v>
      </c>
      <c r="P23" s="623">
        <f>N19-K20</f>
        <v>-808.42790740999953</v>
      </c>
    </row>
    <row r="24" spans="1:19" ht="27.75" customHeight="1">
      <c r="A24" s="282"/>
      <c r="B24" s="280" t="s">
        <v>414</v>
      </c>
      <c r="C24" s="605" t="s">
        <v>715</v>
      </c>
      <c r="D24" s="1284">
        <f>SUM(D25:D29)</f>
        <v>1.05</v>
      </c>
      <c r="E24" s="1283">
        <f>SUM(E25:E29)</f>
        <v>7417.25</v>
      </c>
      <c r="F24" s="282"/>
      <c r="G24" s="280"/>
      <c r="H24" s="283"/>
      <c r="I24" s="320"/>
      <c r="J24" s="321"/>
      <c r="K24" s="322"/>
      <c r="L24" s="295"/>
      <c r="M24" s="211"/>
      <c r="N24" s="322"/>
    </row>
    <row r="25" spans="1:19">
      <c r="A25" s="290"/>
      <c r="B25" s="324" t="s">
        <v>1227</v>
      </c>
      <c r="C25" s="1299">
        <f>E25/D25</f>
        <v>7205.2083333333339</v>
      </c>
      <c r="D25" s="1303">
        <v>0.96</v>
      </c>
      <c r="E25" s="1304">
        <v>6917</v>
      </c>
      <c r="F25" s="325">
        <f>E62</f>
        <v>364484.63</v>
      </c>
      <c r="G25" s="326">
        <f>F62</f>
        <v>151.36000000000001</v>
      </c>
      <c r="H25" s="327">
        <f>G62</f>
        <v>671</v>
      </c>
      <c r="I25" s="556">
        <f>D25*F25*12/1000</f>
        <v>4198.8629375999999</v>
      </c>
      <c r="J25" s="556">
        <f>E25*G25/1000</f>
        <v>1046.95712</v>
      </c>
      <c r="K25" s="557">
        <f>I25+J25</f>
        <v>5245.8200575999999</v>
      </c>
      <c r="L25" s="1286"/>
      <c r="M25" s="556"/>
      <c r="N25" s="557">
        <f>ROUND((E25*H25/1000),1)</f>
        <v>4641.3</v>
      </c>
    </row>
    <row r="26" spans="1:19">
      <c r="A26" s="290"/>
      <c r="B26" s="324" t="s">
        <v>415</v>
      </c>
      <c r="C26" s="1299">
        <f>E26/D26</f>
        <v>6965</v>
      </c>
      <c r="D26" s="1303">
        <v>0.01</v>
      </c>
      <c r="E26" s="1304">
        <v>69.650000000000006</v>
      </c>
      <c r="F26" s="325">
        <f t="shared" ref="F26:H28" si="0">E64</f>
        <v>942948.34</v>
      </c>
      <c r="G26" s="326">
        <f t="shared" si="0"/>
        <v>414.16</v>
      </c>
      <c r="H26" s="327">
        <f t="shared" si="0"/>
        <v>1847.1</v>
      </c>
      <c r="I26" s="556">
        <f>D26*F26*12/1000</f>
        <v>113.1538008</v>
      </c>
      <c r="J26" s="556">
        <f>E26*G26/1000</f>
        <v>28.846244000000002</v>
      </c>
      <c r="K26" s="557">
        <f>I26+J26</f>
        <v>142.00004480000001</v>
      </c>
      <c r="L26" s="1286"/>
      <c r="M26" s="556"/>
      <c r="N26" s="557">
        <f>ROUND((E26*H26/1000),1)</f>
        <v>128.69999999999999</v>
      </c>
    </row>
    <row r="27" spans="1:19">
      <c r="A27" s="290"/>
      <c r="B27" s="328" t="s">
        <v>1226</v>
      </c>
      <c r="C27" s="1299">
        <f>E27/D27</f>
        <v>5715</v>
      </c>
      <c r="D27" s="1284">
        <v>0.04</v>
      </c>
      <c r="E27" s="1283">
        <v>228.6</v>
      </c>
      <c r="F27" s="325">
        <f t="shared" si="0"/>
        <v>1640145.12</v>
      </c>
      <c r="G27" s="326">
        <f t="shared" si="0"/>
        <v>472.06</v>
      </c>
      <c r="H27" s="327">
        <f t="shared" si="0"/>
        <v>2747.68</v>
      </c>
      <c r="I27" s="556">
        <f>D27*F27*12/1000</f>
        <v>787.26965760000019</v>
      </c>
      <c r="J27" s="556">
        <f>E27*G27/1000</f>
        <v>107.912916</v>
      </c>
      <c r="K27" s="557">
        <f>I27+J27</f>
        <v>895.18257360000018</v>
      </c>
      <c r="L27" s="1286"/>
      <c r="M27" s="556"/>
      <c r="N27" s="557">
        <f>ROUND((E27*H27/1000),1)</f>
        <v>628.1</v>
      </c>
    </row>
    <row r="28" spans="1:19" s="391" customFormat="1" ht="28.2">
      <c r="A28" s="290"/>
      <c r="B28" s="328" t="s">
        <v>1225</v>
      </c>
      <c r="C28" s="1299" t="e">
        <f>E28/D28</f>
        <v>#DIV/0!</v>
      </c>
      <c r="D28" s="1284"/>
      <c r="E28" s="1283"/>
      <c r="F28" s="325">
        <f t="shared" si="0"/>
        <v>133702.84</v>
      </c>
      <c r="G28" s="326">
        <f t="shared" si="0"/>
        <v>150</v>
      </c>
      <c r="H28" s="327">
        <f t="shared" si="0"/>
        <v>437.28</v>
      </c>
      <c r="I28" s="556">
        <f>D28*F28*12/1000</f>
        <v>0</v>
      </c>
      <c r="J28" s="556">
        <f>E28*G28/1000</f>
        <v>0</v>
      </c>
      <c r="K28" s="557">
        <f>I28+J28</f>
        <v>0</v>
      </c>
      <c r="L28" s="1286"/>
      <c r="M28" s="556"/>
      <c r="N28" s="557">
        <f>ROUND((E28*H28/1000),1)</f>
        <v>0</v>
      </c>
    </row>
    <row r="29" spans="1:19" s="391" customFormat="1" ht="28.8" thickBot="1">
      <c r="A29" s="401"/>
      <c r="B29" s="328" t="s">
        <v>416</v>
      </c>
      <c r="C29" s="627">
        <f>E29/D29</f>
        <v>5050</v>
      </c>
      <c r="D29" s="1285">
        <v>0.04</v>
      </c>
      <c r="E29" s="330">
        <v>202</v>
      </c>
      <c r="F29" s="405">
        <f>F28</f>
        <v>133702.84</v>
      </c>
      <c r="G29" s="406">
        <f>G28</f>
        <v>150</v>
      </c>
      <c r="H29" s="407">
        <f>G66</f>
        <v>437.28</v>
      </c>
      <c r="I29" s="331">
        <f>D29*F29*12/1000</f>
        <v>64.177363199999988</v>
      </c>
      <c r="J29" s="332">
        <f>E29*G29/1000</f>
        <v>30.3</v>
      </c>
      <c r="K29" s="333">
        <f>I29+J29</f>
        <v>94.477363199999985</v>
      </c>
      <c r="L29" s="331"/>
      <c r="M29" s="1287"/>
      <c r="N29" s="333">
        <f>ROUND((E29*H29/1000),1)</f>
        <v>88.3</v>
      </c>
      <c r="O29" s="17"/>
    </row>
    <row r="30" spans="1:19" ht="16.5" customHeight="1">
      <c r="A30" s="3034" t="s">
        <v>417</v>
      </c>
      <c r="B30" s="3035" t="s">
        <v>1229</v>
      </c>
      <c r="C30" s="1300"/>
      <c r="D30" s="334" t="s">
        <v>418</v>
      </c>
      <c r="E30" s="365"/>
      <c r="F30" s="367" t="s">
        <v>419</v>
      </c>
      <c r="G30" s="334"/>
      <c r="H30" s="334"/>
      <c r="I30" s="335" t="s">
        <v>412</v>
      </c>
      <c r="J30" s="336"/>
      <c r="K30" s="337"/>
      <c r="L30" s="315" t="s">
        <v>413</v>
      </c>
      <c r="M30" s="336"/>
      <c r="N30" s="337"/>
    </row>
    <row r="31" spans="1:19" ht="27.6">
      <c r="A31" s="3028"/>
      <c r="B31" s="3036"/>
      <c r="C31" s="1301"/>
      <c r="D31" s="264" t="s">
        <v>396</v>
      </c>
      <c r="E31" s="366" t="s">
        <v>397</v>
      </c>
      <c r="F31" s="368" t="s">
        <v>420</v>
      </c>
      <c r="G31" s="338" t="s">
        <v>90</v>
      </c>
      <c r="H31" s="409" t="s">
        <v>605</v>
      </c>
      <c r="I31" s="1286">
        <f>SUM(I32:I33)</f>
        <v>5162.2075864799999</v>
      </c>
      <c r="J31" s="556">
        <f>SUM(J32:J33)</f>
        <v>1930.7856701799999</v>
      </c>
      <c r="K31" s="1298">
        <f>SUM(K32:K33)</f>
        <v>7092.99325666</v>
      </c>
      <c r="L31" s="615">
        <f>SUM(L33:L33)</f>
        <v>0</v>
      </c>
      <c r="M31" s="465">
        <f>SUM(M33:M33)</f>
        <v>0</v>
      </c>
      <c r="N31" s="628">
        <f>SUM(N32:N33)</f>
        <v>7010.0425975200005</v>
      </c>
    </row>
    <row r="32" spans="1:19" ht="22.5" customHeight="1">
      <c r="A32" s="339">
        <v>1</v>
      </c>
      <c r="B32" s="280" t="s">
        <v>1231</v>
      </c>
      <c r="C32" s="626">
        <f>E32/D32</f>
        <v>7183.2162162162167</v>
      </c>
      <c r="D32" s="1291">
        <f>'П1.30 - 07.06.11г.'!D137</f>
        <v>7.3999999999999996E-2</v>
      </c>
      <c r="E32" s="1292">
        <f>'П1.30 - 07.06.11г.'!C137</f>
        <v>531.55799999999999</v>
      </c>
      <c r="F32" s="613">
        <v>279175.21000000002</v>
      </c>
      <c r="G32" s="614">
        <v>108.71</v>
      </c>
      <c r="H32" s="1293">
        <f>K32/E32*1000+12.17</f>
        <v>587.25918435993799</v>
      </c>
      <c r="I32" s="295">
        <f>$D32*$F32*12/1000</f>
        <v>247.90758647999999</v>
      </c>
      <c r="J32" s="211">
        <f>$E32*$G32/1000</f>
        <v>57.785670179999997</v>
      </c>
      <c r="K32" s="296">
        <f>I32+J32</f>
        <v>305.69325665999997</v>
      </c>
      <c r="L32" s="465"/>
      <c r="M32" s="465"/>
      <c r="N32" s="603">
        <f>E32*H32/1000</f>
        <v>312.16231751999993</v>
      </c>
    </row>
    <row r="33" spans="1:15" ht="22.5" customHeight="1" thickBot="1">
      <c r="A33" s="339">
        <v>1</v>
      </c>
      <c r="B33" s="280" t="s">
        <v>1232</v>
      </c>
      <c r="C33" s="626">
        <f>E33/D33</f>
        <v>4242.727272727273</v>
      </c>
      <c r="D33" s="323">
        <v>0.22</v>
      </c>
      <c r="E33" s="1282">
        <v>933.4</v>
      </c>
      <c r="F33" s="613">
        <v>1861465.03</v>
      </c>
      <c r="G33" s="614">
        <v>2006.61</v>
      </c>
      <c r="H33" s="1293">
        <f>K33/E33*1000-95.8</f>
        <v>7175.7877437325915</v>
      </c>
      <c r="I33" s="556">
        <f>ROUND(($D$33*$F$33*12/1000),1)</f>
        <v>4914.3</v>
      </c>
      <c r="J33" s="556">
        <f>ROUND(($E$33*$G$33/1000),1)</f>
        <v>1873</v>
      </c>
      <c r="K33" s="557">
        <f>I33+J33</f>
        <v>6787.3</v>
      </c>
      <c r="L33" s="465"/>
      <c r="M33" s="465"/>
      <c r="N33" s="603">
        <f>E33*H33/1000</f>
        <v>6697.8802800000003</v>
      </c>
    </row>
    <row r="34" spans="1:15" ht="47.4" thickBot="1">
      <c r="A34" s="637" t="s">
        <v>422</v>
      </c>
      <c r="B34" s="638" t="s">
        <v>1230</v>
      </c>
      <c r="C34" s="1302"/>
      <c r="D34" s="639"/>
      <c r="E34" s="640"/>
      <c r="F34" s="641" t="s">
        <v>420</v>
      </c>
      <c r="G34" s="642" t="s">
        <v>90</v>
      </c>
      <c r="H34" s="643" t="s">
        <v>90</v>
      </c>
      <c r="I34" s="644">
        <f>SUM(I35:I37)</f>
        <v>3725.75140848</v>
      </c>
      <c r="J34" s="645">
        <f>SUM(J35:J37)</f>
        <v>1881.9713548599998</v>
      </c>
      <c r="K34" s="646">
        <f>SUM(K35:K37)</f>
        <v>5607.7227633399998</v>
      </c>
      <c r="L34" s="647">
        <f>SUM(L36:L37)</f>
        <v>0</v>
      </c>
      <c r="M34" s="648">
        <f>SUM(M36:M37)</f>
        <v>0</v>
      </c>
      <c r="N34" s="646">
        <f>SUM(N35:N37)</f>
        <v>5607.4146901100003</v>
      </c>
    </row>
    <row r="35" spans="1:15">
      <c r="A35" s="629">
        <v>1</v>
      </c>
      <c r="B35" s="363" t="s">
        <v>421</v>
      </c>
      <c r="C35" s="630">
        <f>E35/D35</f>
        <v>7923.6941872427988</v>
      </c>
      <c r="D35" s="1288">
        <v>3.8879999999999999</v>
      </c>
      <c r="E35" s="1288">
        <v>30807.323</v>
      </c>
      <c r="F35" s="631">
        <v>451.08</v>
      </c>
      <c r="G35" s="632">
        <v>0.82</v>
      </c>
      <c r="H35" s="1293">
        <f>K35/E35*1000-0.01</f>
        <v>1.4931359050573787</v>
      </c>
      <c r="I35" s="633">
        <f>$D$35*$F$35*12/1000</f>
        <v>21.045588479999999</v>
      </c>
      <c r="J35" s="634">
        <f>$E$35*$G$35/1000</f>
        <v>25.262004859999998</v>
      </c>
      <c r="K35" s="635">
        <f>I35+J35</f>
        <v>46.307593339999997</v>
      </c>
      <c r="L35" s="636"/>
      <c r="M35" s="634"/>
      <c r="N35" s="635">
        <f>E35*H35/1000</f>
        <v>45.999520109999999</v>
      </c>
    </row>
    <row r="36" spans="1:15">
      <c r="A36" s="364">
        <v>2</v>
      </c>
      <c r="B36" s="280" t="s">
        <v>447</v>
      </c>
      <c r="C36" s="626">
        <f>E36/D36</f>
        <v>8643.75</v>
      </c>
      <c r="D36" s="323">
        <f>1.56+0.04</f>
        <v>1.6</v>
      </c>
      <c r="E36" s="606">
        <f>13465+365</f>
        <v>13830</v>
      </c>
      <c r="F36" s="616">
        <v>169906.8</v>
      </c>
      <c r="G36" s="617">
        <v>114.55</v>
      </c>
      <c r="H36" s="618">
        <f>K36/E36*1000</f>
        <v>350.42928850325382</v>
      </c>
      <c r="I36" s="295">
        <f>$D36*$F36*12/1000</f>
        <v>3262.21056</v>
      </c>
      <c r="J36" s="211">
        <f>$E36*$G36/1000</f>
        <v>1584.2265</v>
      </c>
      <c r="K36" s="296">
        <f>I36+J36</f>
        <v>4846.4370600000002</v>
      </c>
      <c r="L36" s="404"/>
      <c r="M36" s="211"/>
      <c r="N36" s="296">
        <f>E36*H36/1000</f>
        <v>4846.4370600000002</v>
      </c>
    </row>
    <row r="37" spans="1:15" ht="16.2" thickBot="1">
      <c r="A37" s="340">
        <v>3</v>
      </c>
      <c r="B37" s="292" t="s">
        <v>1233</v>
      </c>
      <c r="C37" s="627">
        <f>E37/D37</f>
        <v>4553.3333333333339</v>
      </c>
      <c r="D37" s="329">
        <v>0.15</v>
      </c>
      <c r="E37" s="607">
        <v>683</v>
      </c>
      <c r="F37" s="619">
        <v>245830.7</v>
      </c>
      <c r="G37" s="620">
        <v>398.95</v>
      </c>
      <c r="H37" s="621">
        <f>K37/E37*1000</f>
        <v>1046.8200732064422</v>
      </c>
      <c r="I37" s="612">
        <f>$D$37*$F$37*12/1000</f>
        <v>442.49526000000003</v>
      </c>
      <c r="J37" s="611">
        <f>$E$37*$G$37/1000</f>
        <v>272.48284999999998</v>
      </c>
      <c r="K37" s="650">
        <f>I37+J37</f>
        <v>714.97811000000002</v>
      </c>
      <c r="L37" s="624"/>
      <c r="M37" s="625"/>
      <c r="N37" s="333">
        <f>E37*H37/1000</f>
        <v>714.97811000000002</v>
      </c>
    </row>
    <row r="38" spans="1:15" hidden="1">
      <c r="F38" s="94"/>
      <c r="G38" s="94"/>
      <c r="H38" s="94"/>
      <c r="L38" s="17"/>
      <c r="M38" s="17"/>
      <c r="N38" s="17"/>
    </row>
    <row r="39" spans="1:15">
      <c r="B39" s="52" t="s">
        <v>352</v>
      </c>
      <c r="C39" s="52"/>
      <c r="L39" s="17"/>
      <c r="M39" s="17"/>
      <c r="N39" s="17"/>
    </row>
    <row r="40" spans="1:15">
      <c r="D40" s="52" t="s">
        <v>1234</v>
      </c>
      <c r="E40" s="240">
        <v>1731</v>
      </c>
      <c r="F40" s="17" t="s">
        <v>423</v>
      </c>
      <c r="H40" s="608">
        <f>E36+E37+E29+E40</f>
        <v>16446</v>
      </c>
      <c r="L40" s="17"/>
      <c r="M40" s="17"/>
      <c r="N40" s="17"/>
    </row>
    <row r="41" spans="1:15">
      <c r="D41" s="52" t="s">
        <v>424</v>
      </c>
      <c r="E41" s="341" t="e">
        <f>#REF!*1000</f>
        <v>#REF!</v>
      </c>
      <c r="F41" s="17" t="s">
        <v>425</v>
      </c>
      <c r="L41" s="17"/>
      <c r="M41" s="17"/>
      <c r="N41" s="17"/>
    </row>
    <row r="42" spans="1:15" hidden="1"/>
    <row r="43" spans="1:15" hidden="1">
      <c r="E43" s="17" t="s">
        <v>425</v>
      </c>
      <c r="G43" s="410" t="s">
        <v>722</v>
      </c>
      <c r="H43" s="410"/>
      <c r="I43" s="410"/>
      <c r="J43" s="410"/>
      <c r="K43" s="410"/>
    </row>
    <row r="44" spans="1:15" hidden="1">
      <c r="E44" s="417"/>
      <c r="F44" s="416"/>
      <c r="G44" s="411" t="s">
        <v>419</v>
      </c>
      <c r="H44" s="411"/>
      <c r="I44" s="411"/>
      <c r="J44" s="415" t="s">
        <v>606</v>
      </c>
      <c r="K44" s="415"/>
      <c r="L44" s="17"/>
      <c r="M44" s="17"/>
      <c r="N44" s="17"/>
      <c r="O44" s="342"/>
    </row>
    <row r="45" spans="1:15" ht="27" hidden="1">
      <c r="E45" s="417"/>
      <c r="F45" s="416"/>
      <c r="G45" s="412" t="s">
        <v>420</v>
      </c>
      <c r="H45" s="412" t="s">
        <v>90</v>
      </c>
      <c r="I45" s="413" t="s">
        <v>605</v>
      </c>
      <c r="J45" s="410"/>
      <c r="K45" s="410"/>
      <c r="L45" s="17"/>
      <c r="M45" s="17"/>
      <c r="N45" s="17"/>
      <c r="O45" s="343"/>
    </row>
    <row r="46" spans="1:15" hidden="1">
      <c r="E46" s="417"/>
      <c r="F46" s="416"/>
      <c r="G46" s="148"/>
      <c r="H46" s="148"/>
      <c r="I46" s="148"/>
      <c r="J46" s="410"/>
      <c r="K46" s="410"/>
      <c r="L46" s="17"/>
      <c r="M46" s="17"/>
      <c r="N46" s="17"/>
      <c r="O46" s="342"/>
    </row>
    <row r="47" spans="1:15" hidden="1">
      <c r="E47" s="417"/>
      <c r="F47" s="416" t="s">
        <v>723</v>
      </c>
      <c r="G47" s="148"/>
      <c r="H47" s="148"/>
      <c r="I47" s="148"/>
      <c r="J47" s="410"/>
      <c r="K47" s="410"/>
    </row>
    <row r="48" spans="1:15" hidden="1">
      <c r="E48" s="417"/>
      <c r="F48" s="416" t="s">
        <v>421</v>
      </c>
      <c r="G48" s="414"/>
      <c r="H48" s="414"/>
      <c r="I48" s="414"/>
      <c r="J48" s="410"/>
      <c r="K48" s="414"/>
    </row>
    <row r="49" spans="2:14" hidden="1">
      <c r="E49" s="417"/>
      <c r="F49" s="416" t="s">
        <v>447</v>
      </c>
      <c r="G49" s="414"/>
      <c r="H49" s="414"/>
      <c r="I49" s="414"/>
      <c r="J49" s="410"/>
      <c r="K49" s="414"/>
    </row>
    <row r="50" spans="2:14" hidden="1">
      <c r="E50" s="417"/>
      <c r="F50" s="416" t="s">
        <v>720</v>
      </c>
      <c r="G50" s="414"/>
      <c r="H50" s="414"/>
      <c r="I50" s="414"/>
      <c r="J50" s="410"/>
      <c r="K50" s="414"/>
    </row>
    <row r="51" spans="2:14" hidden="1">
      <c r="E51" s="417"/>
      <c r="F51" s="416" t="s">
        <v>248</v>
      </c>
      <c r="G51" s="414"/>
      <c r="H51" s="414"/>
      <c r="I51" s="414"/>
      <c r="J51" s="410"/>
      <c r="K51" s="414"/>
    </row>
    <row r="52" spans="2:14" hidden="1"/>
    <row r="53" spans="2:14" hidden="1"/>
    <row r="54" spans="2:14" hidden="1">
      <c r="K54" s="94"/>
      <c r="L54" s="17"/>
      <c r="M54" s="17"/>
      <c r="N54" s="17"/>
    </row>
    <row r="55" spans="2:14" hidden="1"/>
    <row r="56" spans="2:14" hidden="1"/>
    <row r="57" spans="2:14" ht="12.75" customHeight="1">
      <c r="B57" s="6" t="s">
        <v>607</v>
      </c>
      <c r="C57" s="6"/>
      <c r="D57" s="6"/>
      <c r="E57" s="6"/>
      <c r="F57" s="6"/>
      <c r="G57" s="123"/>
      <c r="H57" s="124"/>
    </row>
    <row r="58" spans="2:14">
      <c r="B58" s="3025" t="s">
        <v>337</v>
      </c>
      <c r="C58" s="8"/>
      <c r="D58" s="8"/>
      <c r="E58" s="3038" t="s">
        <v>338</v>
      </c>
      <c r="F58" s="23" t="s">
        <v>339</v>
      </c>
      <c r="G58" s="3025" t="s">
        <v>340</v>
      </c>
      <c r="H58" s="6"/>
    </row>
    <row r="59" spans="2:14" ht="66.599999999999994">
      <c r="B59" s="3037"/>
      <c r="C59" s="15"/>
      <c r="D59" s="15"/>
      <c r="E59" s="3039"/>
      <c r="F59" s="23" t="s">
        <v>341</v>
      </c>
      <c r="G59" s="3026"/>
      <c r="H59" s="6"/>
    </row>
    <row r="60" spans="2:14" ht="16.8">
      <c r="B60" s="3037"/>
      <c r="C60" s="15"/>
      <c r="D60" s="15"/>
      <c r="E60" s="98" t="s">
        <v>342</v>
      </c>
      <c r="F60" s="98" t="s">
        <v>343</v>
      </c>
      <c r="G60" s="13"/>
      <c r="H60" s="124" t="s">
        <v>336</v>
      </c>
    </row>
    <row r="61" spans="2:14" ht="15.75" customHeight="1">
      <c r="B61" s="3026"/>
      <c r="C61" s="10"/>
      <c r="D61" s="10"/>
      <c r="E61" s="13" t="s">
        <v>99</v>
      </c>
      <c r="F61" s="13" t="s">
        <v>344</v>
      </c>
      <c r="G61" s="13" t="s">
        <v>344</v>
      </c>
      <c r="H61" s="123"/>
    </row>
    <row r="62" spans="2:14">
      <c r="B62" s="13" t="s">
        <v>292</v>
      </c>
      <c r="C62" s="583"/>
      <c r="D62" s="583"/>
      <c r="E62" s="584">
        <v>364484.63</v>
      </c>
      <c r="F62" s="584">
        <v>151.36000000000001</v>
      </c>
      <c r="G62" s="584">
        <v>671</v>
      </c>
      <c r="H62" s="585">
        <f>(E62*12/(G62-F62))</f>
        <v>8417.0109306442937</v>
      </c>
    </row>
    <row r="63" spans="2:14">
      <c r="B63" s="13" t="s">
        <v>276</v>
      </c>
      <c r="C63" s="13"/>
      <c r="D63" s="13"/>
      <c r="E63" s="224">
        <v>684381.17</v>
      </c>
      <c r="F63" s="224">
        <v>162.12</v>
      </c>
      <c r="G63" s="224">
        <v>1153.6500000000001</v>
      </c>
      <c r="H63" s="123">
        <f>(E63*12/(G63-F63))</f>
        <v>8282.7287525339634</v>
      </c>
    </row>
    <row r="64" spans="2:14">
      <c r="B64" s="23" t="s">
        <v>348</v>
      </c>
      <c r="C64" s="23"/>
      <c r="D64" s="23"/>
      <c r="E64" s="224">
        <v>942948.34</v>
      </c>
      <c r="F64" s="224">
        <v>414.16</v>
      </c>
      <c r="G64" s="224">
        <v>1847.1</v>
      </c>
      <c r="H64" s="123">
        <f>(E64*12/(G64-F64))</f>
        <v>7896.6181975518875</v>
      </c>
    </row>
    <row r="65" spans="2:8">
      <c r="B65" s="13" t="s">
        <v>280</v>
      </c>
      <c r="C65" s="583"/>
      <c r="D65" s="583"/>
      <c r="E65" s="584">
        <v>1640145.12</v>
      </c>
      <c r="F65" s="584">
        <v>472.06</v>
      </c>
      <c r="G65" s="584">
        <v>2747.68</v>
      </c>
      <c r="H65" s="585">
        <f>(E65*12/(G65-F65))</f>
        <v>8648.9578400611717</v>
      </c>
    </row>
    <row r="66" spans="2:8">
      <c r="B66" s="374" t="s">
        <v>449</v>
      </c>
      <c r="C66" s="374"/>
      <c r="D66" s="374"/>
      <c r="E66" s="375">
        <v>133702.84</v>
      </c>
      <c r="F66" s="375">
        <v>150</v>
      </c>
      <c r="G66" s="375">
        <v>437.28</v>
      </c>
      <c r="H66" s="229">
        <f>(E66*12/(G66-F66))</f>
        <v>5584.9139515455308</v>
      </c>
    </row>
    <row r="67" spans="2:8">
      <c r="B67" s="55"/>
      <c r="C67" s="55"/>
      <c r="D67" s="55"/>
      <c r="E67" s="55"/>
      <c r="F67" s="55"/>
      <c r="G67" s="55"/>
      <c r="H67" s="55"/>
    </row>
  </sheetData>
  <mergeCells count="14">
    <mergeCell ref="G58:G59"/>
    <mergeCell ref="A22:A23"/>
    <mergeCell ref="B22:E23"/>
    <mergeCell ref="A30:A31"/>
    <mergeCell ref="B30:B31"/>
    <mergeCell ref="B58:B61"/>
    <mergeCell ref="E58:E59"/>
    <mergeCell ref="B6:B9"/>
    <mergeCell ref="D6:D7"/>
    <mergeCell ref="E6:E7"/>
    <mergeCell ref="F6:F7"/>
    <mergeCell ref="A15:A17"/>
    <mergeCell ref="B15:B17"/>
    <mergeCell ref="D15:E16"/>
  </mergeCells>
  <printOptions horizontalCentered="1"/>
  <pageMargins left="0.39370078740157483" right="0.39370078740157483" top="0.19685039370078741" bottom="3.937007874015748E-2" header="0.11811023622047245" footer="3.937007874015748E-2"/>
  <pageSetup paperSize="9" scale="61" orientation="landscape" r:id="rId1"/>
  <headerFooter alignWithMargins="0">
    <oddFooter>&amp;L&amp;8________________________________________________________________________
&amp;F&amp;A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3">
    <tabColor rgb="FF92D050"/>
  </sheetPr>
  <dimension ref="A1:V68"/>
  <sheetViews>
    <sheetView zoomScaleNormal="100" workbookViewId="0">
      <pane xSplit="2" ySplit="10" topLeftCell="C13" activePane="bottomRight" state="frozenSplit"/>
      <selection activeCell="K8" sqref="K8"/>
      <selection pane="topRight" activeCell="K8" sqref="K8"/>
      <selection pane="bottomLeft" activeCell="K8" sqref="K8"/>
      <selection pane="bottomRight" activeCell="K8" sqref="K8"/>
    </sheetView>
  </sheetViews>
  <sheetFormatPr defaultColWidth="9.109375" defaultRowHeight="13.2"/>
  <cols>
    <col min="1" max="1" width="4.44140625" style="22" customWidth="1"/>
    <col min="2" max="2" width="38.88671875" style="22" customWidth="1"/>
    <col min="3" max="3" width="10.88671875" style="22" customWidth="1"/>
    <col min="4" max="4" width="8.5546875" style="22" customWidth="1"/>
    <col min="5" max="5" width="10.109375" style="22" customWidth="1"/>
    <col min="6" max="6" width="8.88671875" style="22" customWidth="1"/>
    <col min="7" max="7" width="9.109375" style="22"/>
    <col min="8" max="8" width="10" style="22" customWidth="1"/>
    <col min="9" max="9" width="10.109375" style="22" customWidth="1"/>
    <col min="10" max="10" width="9.33203125" style="22" customWidth="1"/>
    <col min="11" max="11" width="9" style="22" customWidth="1"/>
    <col min="12" max="12" width="10.109375" style="22" customWidth="1"/>
    <col min="13" max="13" width="10" style="22" customWidth="1"/>
    <col min="14" max="14" width="9.88671875" style="22" bestFit="1" customWidth="1"/>
    <col min="15" max="15" width="9.109375" style="22"/>
    <col min="16" max="16" width="12" style="22" customWidth="1"/>
    <col min="17" max="16384" width="9.109375" style="22"/>
  </cols>
  <sheetData>
    <row r="1" spans="1:17">
      <c r="L1" s="1205" t="s">
        <v>1153</v>
      </c>
      <c r="M1" s="1206" t="s">
        <v>1154</v>
      </c>
      <c r="N1" s="1207"/>
      <c r="O1" s="1207"/>
      <c r="P1" s="1207"/>
      <c r="Q1" s="1207"/>
    </row>
    <row r="2" spans="1:17">
      <c r="L2" s="1205" t="s">
        <v>1155</v>
      </c>
      <c r="M2" s="1208">
        <f>'[18]П 1.4.'!$H$18/100</f>
        <v>7.0001066190093802E-2</v>
      </c>
      <c r="N2" s="1209"/>
    </row>
    <row r="3" spans="1:17">
      <c r="L3" s="1205" t="s">
        <v>1156</v>
      </c>
      <c r="M3" s="1208">
        <f>L17/L11</f>
        <v>6.9999929343517828E-2</v>
      </c>
      <c r="N3" s="1210">
        <v>2012</v>
      </c>
    </row>
    <row r="4" spans="1:17">
      <c r="L4" s="1205"/>
      <c r="M4" s="1208">
        <f>G17/G11</f>
        <v>7.0000000000000062E-2</v>
      </c>
      <c r="N4" s="22">
        <v>2011</v>
      </c>
    </row>
    <row r="5" spans="1:17" ht="15.6">
      <c r="A5" s="1211" t="s">
        <v>1157</v>
      </c>
      <c r="B5" s="1212"/>
      <c r="C5" s="1213"/>
      <c r="D5" s="1213"/>
      <c r="E5" s="1213"/>
      <c r="F5" s="1213"/>
      <c r="G5" s="1213"/>
      <c r="H5" s="1213"/>
      <c r="I5" s="1213"/>
      <c r="J5" s="1213"/>
      <c r="K5" s="1213"/>
      <c r="L5" s="1214"/>
    </row>
    <row r="6" spans="1:17" ht="17.399999999999999">
      <c r="A6" s="1215"/>
      <c r="B6" s="1216"/>
      <c r="C6" s="1217"/>
      <c r="D6" s="1217"/>
      <c r="E6" s="1218"/>
      <c r="F6" s="1219"/>
      <c r="G6" s="1217"/>
      <c r="H6" s="1218"/>
      <c r="I6" s="1218"/>
      <c r="J6" s="1219"/>
      <c r="K6" s="1218"/>
      <c r="L6" s="1218"/>
    </row>
    <row r="7" spans="1:17" ht="12.75" customHeight="1">
      <c r="A7" s="3064" t="s">
        <v>229</v>
      </c>
      <c r="B7" s="3064" t="s">
        <v>71</v>
      </c>
      <c r="C7" s="1220" t="s">
        <v>1158</v>
      </c>
      <c r="D7" s="1220"/>
      <c r="E7" s="1220"/>
      <c r="F7" s="1220"/>
      <c r="G7" s="1220"/>
      <c r="H7" s="1221" t="s">
        <v>1159</v>
      </c>
      <c r="I7" s="1221"/>
      <c r="J7" s="1221"/>
      <c r="K7" s="1221"/>
      <c r="L7" s="1221"/>
      <c r="M7" s="1222"/>
    </row>
    <row r="8" spans="1:17">
      <c r="A8" s="3064"/>
      <c r="B8" s="3064"/>
      <c r="C8" s="1223" t="s">
        <v>1160</v>
      </c>
      <c r="D8" s="1223"/>
      <c r="E8" s="1223"/>
      <c r="F8" s="1223"/>
      <c r="G8" s="1223"/>
      <c r="H8" s="1224" t="s">
        <v>1160</v>
      </c>
      <c r="I8" s="1224"/>
      <c r="J8" s="1224"/>
      <c r="K8" s="1224"/>
      <c r="L8" s="1224"/>
      <c r="M8" s="1222"/>
    </row>
    <row r="9" spans="1:17" ht="39.6">
      <c r="A9" s="3064"/>
      <c r="B9" s="3064"/>
      <c r="C9" s="1225" t="s">
        <v>1161</v>
      </c>
      <c r="D9" s="1225" t="s">
        <v>1162</v>
      </c>
      <c r="E9" s="1225" t="s">
        <v>1163</v>
      </c>
      <c r="F9" s="1225" t="s">
        <v>1164</v>
      </c>
      <c r="G9" s="1225" t="s">
        <v>1165</v>
      </c>
      <c r="H9" s="1225" t="s">
        <v>1161</v>
      </c>
      <c r="I9" s="1225" t="s">
        <v>1166</v>
      </c>
      <c r="J9" s="1225" t="s">
        <v>1163</v>
      </c>
      <c r="K9" s="1225" t="s">
        <v>1164</v>
      </c>
      <c r="L9" s="1225" t="s">
        <v>1165</v>
      </c>
      <c r="M9" s="1222"/>
    </row>
    <row r="10" spans="1:17" ht="26.4">
      <c r="A10" s="3064"/>
      <c r="B10" s="3064"/>
      <c r="C10" s="1225" t="s">
        <v>1167</v>
      </c>
      <c r="D10" s="1225" t="s">
        <v>1167</v>
      </c>
      <c r="E10" s="1225" t="s">
        <v>1167</v>
      </c>
      <c r="F10" s="1225" t="s">
        <v>1167</v>
      </c>
      <c r="G10" s="1225" t="s">
        <v>1167</v>
      </c>
      <c r="H10" s="1226" t="s">
        <v>1167</v>
      </c>
      <c r="I10" s="1225" t="s">
        <v>1167</v>
      </c>
      <c r="J10" s="1225" t="s">
        <v>1167</v>
      </c>
      <c r="K10" s="1225" t="s">
        <v>1167</v>
      </c>
      <c r="L10" s="1225" t="s">
        <v>1167</v>
      </c>
      <c r="M10" s="1222"/>
    </row>
    <row r="11" spans="1:17">
      <c r="A11" s="1227">
        <v>1</v>
      </c>
      <c r="B11" s="1228" t="s">
        <v>1168</v>
      </c>
      <c r="C11" s="1229">
        <f>C12+C13+C14+C15</f>
        <v>30807.322580645163</v>
      </c>
      <c r="D11" s="54">
        <f>D12+D13+D14+D15</f>
        <v>0</v>
      </c>
      <c r="E11" s="54">
        <f>E12+E13+E14+E15</f>
        <v>0</v>
      </c>
      <c r="F11" s="54">
        <f>F12+F13+F14+F15</f>
        <v>0</v>
      </c>
      <c r="G11" s="1229">
        <f>F11+E11+D11+C11</f>
        <v>30807.322580645163</v>
      </c>
      <c r="H11" s="1229">
        <f>H12+H13+H14+H15</f>
        <v>33929.534000000007</v>
      </c>
      <c r="I11" s="56">
        <f>I12+I13+I14+I15</f>
        <v>462.21499999999997</v>
      </c>
      <c r="J11" s="54">
        <f>J12+J13+J14+J15</f>
        <v>0</v>
      </c>
      <c r="K11" s="54">
        <f>K12+K13+K14+K15</f>
        <v>0</v>
      </c>
      <c r="L11" s="1229">
        <f>K11+J11+I11+H11</f>
        <v>34391.749000000003</v>
      </c>
      <c r="M11" s="1222"/>
    </row>
    <row r="12" spans="1:17">
      <c r="A12" s="16" t="s">
        <v>293</v>
      </c>
      <c r="B12" s="1228" t="s">
        <v>1169</v>
      </c>
      <c r="C12" s="1229"/>
      <c r="D12" s="1229"/>
      <c r="E12" s="1230"/>
      <c r="F12" s="1230"/>
      <c r="G12" s="1229"/>
      <c r="H12" s="1229"/>
      <c r="I12" s="1229"/>
      <c r="J12" s="1231"/>
      <c r="K12" s="1231"/>
      <c r="L12" s="1232"/>
      <c r="M12" s="1222"/>
    </row>
    <row r="13" spans="1:17">
      <c r="A13" s="16" t="s">
        <v>294</v>
      </c>
      <c r="B13" s="1228" t="s">
        <v>1170</v>
      </c>
      <c r="C13" s="1229"/>
      <c r="D13" s="1229"/>
      <c r="E13" s="1230"/>
      <c r="F13" s="1230"/>
      <c r="G13" s="1229"/>
      <c r="H13" s="1229"/>
      <c r="I13" s="1229"/>
      <c r="J13" s="1231"/>
      <c r="K13" s="1231"/>
      <c r="L13" s="1232"/>
      <c r="M13" s="1222"/>
    </row>
    <row r="14" spans="1:17">
      <c r="A14" s="16" t="s">
        <v>86</v>
      </c>
      <c r="B14" s="1233" t="s">
        <v>1171</v>
      </c>
      <c r="C14" s="1234">
        <f>'[18]П 1.4.'!$D$14*1000</f>
        <v>30807.322580645163</v>
      </c>
      <c r="D14" s="1229"/>
      <c r="E14" s="1230"/>
      <c r="F14" s="1230"/>
      <c r="G14" s="1229">
        <f>F14+E14+D14+C14</f>
        <v>30807.322580645163</v>
      </c>
      <c r="H14" s="1234">
        <f>'[19]П 1.4.'!$I$14*1000</f>
        <v>33929.534000000007</v>
      </c>
      <c r="I14" s="1229"/>
      <c r="J14" s="30"/>
      <c r="K14" s="1231"/>
      <c r="L14" s="1229">
        <f>K14+J14+I14+H14</f>
        <v>33929.534000000007</v>
      </c>
      <c r="M14" s="1235">
        <f>G17/G14*100</f>
        <v>7.0000000000000062</v>
      </c>
      <c r="N14" s="750" t="s">
        <v>1172</v>
      </c>
    </row>
    <row r="15" spans="1:17">
      <c r="A15" s="16" t="s">
        <v>214</v>
      </c>
      <c r="B15" s="86" t="s">
        <v>1142</v>
      </c>
      <c r="C15" s="1229"/>
      <c r="D15" s="1229"/>
      <c r="E15" s="1230"/>
      <c r="F15" s="1236"/>
      <c r="G15" s="54">
        <f>F15+E15+D15+C15</f>
        <v>0</v>
      </c>
      <c r="H15" s="1229"/>
      <c r="I15" s="1229">
        <f>'[19]П 1.4.'!$J$15*1000</f>
        <v>462.21499999999997</v>
      </c>
      <c r="J15" s="1237"/>
      <c r="K15" s="1238"/>
      <c r="L15" s="56">
        <f>K15+J15+I15+H15</f>
        <v>462.21499999999997</v>
      </c>
      <c r="M15" s="1235">
        <f>L17/L11*100</f>
        <v>6.9999929343517824</v>
      </c>
      <c r="N15" s="750" t="s">
        <v>1173</v>
      </c>
    </row>
    <row r="16" spans="1:17" ht="26.4">
      <c r="A16" s="1227">
        <v>2</v>
      </c>
      <c r="B16" s="1228" t="s">
        <v>1174</v>
      </c>
      <c r="C16" s="54"/>
      <c r="D16" s="1229"/>
      <c r="E16" s="1236"/>
      <c r="F16" s="1230"/>
      <c r="G16" s="1229"/>
      <c r="H16" s="1229"/>
      <c r="I16" s="1229"/>
      <c r="J16" s="1237"/>
      <c r="K16" s="1237"/>
      <c r="L16" s="1237"/>
      <c r="M16" s="1222"/>
      <c r="N16" s="1239" t="s">
        <v>260</v>
      </c>
    </row>
    <row r="17" spans="1:22">
      <c r="A17" s="1227">
        <v>3</v>
      </c>
      <c r="B17" s="1240" t="s">
        <v>1175</v>
      </c>
      <c r="C17" s="1234">
        <f>'[18]П 1.4.'!$D$17*1000</f>
        <v>1118.3058096774193</v>
      </c>
      <c r="D17" s="1241">
        <v>0</v>
      </c>
      <c r="E17" s="1234">
        <f>'[18]П 1.4.'!$F$17*1000</f>
        <v>992.12644838709866</v>
      </c>
      <c r="F17" s="1234">
        <f>'[18]П 1.4.'!$G$17*1000</f>
        <v>46.080322580645202</v>
      </c>
      <c r="G17" s="1242">
        <f t="shared" ref="G17:G23" si="0">C17+D17+E17+F17</f>
        <v>2156.5125806451633</v>
      </c>
      <c r="H17" s="1234">
        <f>'[19]П 1.4.'!$I$17*1000</f>
        <v>1252</v>
      </c>
      <c r="I17" s="1241">
        <v>0</v>
      </c>
      <c r="J17" s="1234">
        <f>'[19]П 1.4.'!$K$17*1000</f>
        <v>1097.1560000000002</v>
      </c>
      <c r="K17" s="1234">
        <f>'[19]П 1.4.'!$L$17*1000</f>
        <v>58.264000000000003</v>
      </c>
      <c r="L17" s="1242">
        <f t="shared" ref="L17:L23" si="1">K17+J17+I17+H17</f>
        <v>2407.42</v>
      </c>
      <c r="M17" s="1243" t="s">
        <v>607</v>
      </c>
      <c r="N17" s="1244">
        <f>D18+D19+D20</f>
        <v>0</v>
      </c>
      <c r="O17" s="1244">
        <f>E18+E19+E20</f>
        <v>992.12644838709866</v>
      </c>
      <c r="P17" s="1244">
        <f>F18+F19+F20</f>
        <v>46.080322580645202</v>
      </c>
      <c r="Q17" s="1244">
        <f>G18+G19+G20</f>
        <v>2156.5125806451633</v>
      </c>
    </row>
    <row r="18" spans="1:22" ht="26.4">
      <c r="A18" s="786" t="s">
        <v>301</v>
      </c>
      <c r="B18" s="1240" t="s">
        <v>1176</v>
      </c>
      <c r="C18" s="1241">
        <v>0</v>
      </c>
      <c r="D18" s="1241">
        <v>0</v>
      </c>
      <c r="E18" s="1241">
        <v>0</v>
      </c>
      <c r="F18" s="1241">
        <v>0</v>
      </c>
      <c r="G18" s="1241">
        <f>SUM(C18:F18)</f>
        <v>0</v>
      </c>
      <c r="H18" s="1241">
        <v>0</v>
      </c>
      <c r="I18" s="1241">
        <v>0</v>
      </c>
      <c r="J18" s="1241">
        <v>0</v>
      </c>
      <c r="K18" s="1241">
        <v>0</v>
      </c>
      <c r="L18" s="1241">
        <f>L17-L19-L20</f>
        <v>0</v>
      </c>
      <c r="M18" s="1243" t="s">
        <v>730</v>
      </c>
      <c r="N18" s="1244">
        <f>I18+I19</f>
        <v>0</v>
      </c>
      <c r="O18" s="1244">
        <f>J18+J19+J20</f>
        <v>1097.1560000000002</v>
      </c>
      <c r="P18" s="1244">
        <f>K18+K19+K20</f>
        <v>58.264000000000003</v>
      </c>
      <c r="Q18" s="1244">
        <f>L18+L19+L20</f>
        <v>2407.42</v>
      </c>
    </row>
    <row r="19" spans="1:22">
      <c r="A19" s="786" t="s">
        <v>97</v>
      </c>
      <c r="B19" s="1245" t="s">
        <v>1177</v>
      </c>
      <c r="C19" s="1241">
        <f>C17</f>
        <v>1118.3058096774193</v>
      </c>
      <c r="D19" s="1241">
        <f>D17</f>
        <v>0</v>
      </c>
      <c r="E19" s="1241">
        <f>E17</f>
        <v>992.12644838709866</v>
      </c>
      <c r="F19" s="1241">
        <f>F17</f>
        <v>46.080322580645202</v>
      </c>
      <c r="G19" s="1246">
        <f>SUM(C19:F19)</f>
        <v>2156.5125806451633</v>
      </c>
      <c r="H19" s="1241">
        <f>H17-H20</f>
        <v>1252</v>
      </c>
      <c r="I19" s="1241">
        <f>I17-I20</f>
        <v>0</v>
      </c>
      <c r="J19" s="1241">
        <f>J17-J20</f>
        <v>1097.1560000000002</v>
      </c>
      <c r="K19" s="1241">
        <f>K17-K20</f>
        <v>58.264000000000003</v>
      </c>
      <c r="L19" s="1246">
        <f>SUM(H19:K19)</f>
        <v>2407.42</v>
      </c>
      <c r="M19" s="1247">
        <f>G18+G19+G20</f>
        <v>2156.5125806451633</v>
      </c>
      <c r="N19" s="1248">
        <f>L18+L19+L20</f>
        <v>2407.42</v>
      </c>
      <c r="O19" s="750"/>
      <c r="P19" s="750"/>
      <c r="T19" s="750"/>
      <c r="U19" s="750"/>
      <c r="V19" s="750"/>
    </row>
    <row r="20" spans="1:22" ht="26.4">
      <c r="A20" s="786" t="s">
        <v>98</v>
      </c>
      <c r="B20" s="1240" t="s">
        <v>1178</v>
      </c>
      <c r="C20" s="1249">
        <v>0</v>
      </c>
      <c r="D20" s="1249">
        <v>0</v>
      </c>
      <c r="E20" s="1249">
        <v>0</v>
      </c>
      <c r="F20" s="1249">
        <v>0</v>
      </c>
      <c r="G20" s="1250">
        <f>SUM(C20:F20)</f>
        <v>0</v>
      </c>
      <c r="H20" s="1241">
        <v>0</v>
      </c>
      <c r="I20" s="1241">
        <v>0</v>
      </c>
      <c r="J20" s="1241">
        <v>0</v>
      </c>
      <c r="K20" s="1241">
        <v>0</v>
      </c>
      <c r="L20" s="1250">
        <f>SUM(H20:K20)</f>
        <v>0</v>
      </c>
      <c r="M20" s="1251">
        <v>2011</v>
      </c>
      <c r="N20" s="1251">
        <v>2012</v>
      </c>
      <c r="O20" s="750"/>
      <c r="P20" s="750"/>
      <c r="T20" s="750"/>
      <c r="U20" s="750"/>
      <c r="V20" s="750"/>
    </row>
    <row r="21" spans="1:22">
      <c r="A21" s="1227">
        <v>4</v>
      </c>
      <c r="B21" s="1233" t="s">
        <v>1179</v>
      </c>
      <c r="C21" s="420">
        <f>(933.4+683+13465)</f>
        <v>15081.4</v>
      </c>
      <c r="D21" s="54">
        <v>0</v>
      </c>
      <c r="E21" s="420">
        <f>(365)</f>
        <v>365</v>
      </c>
      <c r="F21" s="420">
        <f>(133.01)</f>
        <v>133.01</v>
      </c>
      <c r="G21" s="1252">
        <f t="shared" si="0"/>
        <v>15579.41</v>
      </c>
      <c r="H21" s="1234">
        <f>'[19]2012 Баланс  '!$C$30</f>
        <v>21250.311000000002</v>
      </c>
      <c r="I21" s="54">
        <v>0</v>
      </c>
      <c r="J21" s="1234">
        <f>'[19]2012 Баланс  '!$E$30</f>
        <v>360</v>
      </c>
      <c r="K21" s="1234">
        <f>'[19]2012 Баланс  '!$F$30</f>
        <v>531.55799999999999</v>
      </c>
      <c r="L21" s="1252">
        <f t="shared" si="1"/>
        <v>22141.869000000002</v>
      </c>
      <c r="M21" s="1253">
        <f>'[18]П 1.4.'!$P$33*1000</f>
        <v>15579.410000000002</v>
      </c>
      <c r="N21" s="1254">
        <f>'[18]2012 Баланс  '!$B$30</f>
        <v>23680.321</v>
      </c>
      <c r="O21" s="750"/>
      <c r="P21" s="750"/>
      <c r="T21" s="750"/>
      <c r="U21" s="750"/>
      <c r="V21" s="750"/>
    </row>
    <row r="22" spans="1:22">
      <c r="A22" s="1227">
        <v>5</v>
      </c>
      <c r="B22" s="1233" t="s">
        <v>875</v>
      </c>
      <c r="C22" s="54">
        <v>0</v>
      </c>
      <c r="D22" s="54">
        <v>0</v>
      </c>
      <c r="E22" s="54">
        <v>0</v>
      </c>
      <c r="F22" s="54">
        <v>0</v>
      </c>
      <c r="G22" s="54">
        <f t="shared" si="0"/>
        <v>0</v>
      </c>
      <c r="H22" s="54">
        <v>0</v>
      </c>
      <c r="I22" s="54">
        <v>0</v>
      </c>
      <c r="J22" s="54">
        <v>0</v>
      </c>
      <c r="K22" s="54">
        <v>0</v>
      </c>
      <c r="L22" s="54">
        <f t="shared" si="1"/>
        <v>0</v>
      </c>
      <c r="M22" s="1253"/>
      <c r="N22" s="1254"/>
      <c r="O22" s="750"/>
      <c r="P22" s="750"/>
      <c r="T22" s="750"/>
      <c r="U22" s="750"/>
      <c r="V22" s="750"/>
    </row>
    <row r="23" spans="1:22" ht="26.4">
      <c r="A23" s="1255">
        <v>6</v>
      </c>
      <c r="B23" s="1256" t="s">
        <v>1180</v>
      </c>
      <c r="C23" s="1257">
        <f>C24+C25+C26+C35+C46</f>
        <v>5927.9</v>
      </c>
      <c r="D23" s="1258">
        <f>D24+D25+D26+D35+D46</f>
        <v>0</v>
      </c>
      <c r="E23" s="1257">
        <f>E24+E25+E26+E35+E46</f>
        <v>6664.3</v>
      </c>
      <c r="F23" s="1257">
        <f>F24+F25+F26+F35+F46</f>
        <v>479.20000000000005</v>
      </c>
      <c r="G23" s="1257">
        <f t="shared" si="0"/>
        <v>13071.400000000001</v>
      </c>
      <c r="H23" s="1257">
        <f>H24+H25+H26+H35+H46</f>
        <v>4940.6400000000003</v>
      </c>
      <c r="I23" s="1258"/>
      <c r="J23" s="1257">
        <f>J24+J25+J26+J35+J46</f>
        <v>4659.2999999999993</v>
      </c>
      <c r="K23" s="1257">
        <f>K24+K25+K26+K35+K46</f>
        <v>242.52</v>
      </c>
      <c r="L23" s="1257">
        <f t="shared" si="1"/>
        <v>9842.4599999999991</v>
      </c>
      <c r="M23" s="1259">
        <f>'[18]П 1.4.'!$C$26*1000</f>
        <v>28650.81</v>
      </c>
      <c r="N23" s="1259">
        <f>'[19]2012 Баланс  '!$B$30+'[19]2012 Баланс  '!$B$17</f>
        <v>31984.329000000002</v>
      </c>
      <c r="O23" s="1260" t="s">
        <v>75</v>
      </c>
      <c r="P23" s="1261"/>
      <c r="T23" s="750"/>
      <c r="U23" s="750"/>
      <c r="V23" s="750"/>
    </row>
    <row r="24" spans="1:22">
      <c r="A24" s="16" t="s">
        <v>91</v>
      </c>
      <c r="B24" s="1262" t="s">
        <v>1181</v>
      </c>
      <c r="C24" s="1263"/>
      <c r="D24" s="1263"/>
      <c r="E24" s="1264">
        <v>0</v>
      </c>
      <c r="F24" s="1264">
        <v>0</v>
      </c>
      <c r="G24" s="1265"/>
      <c r="H24" s="1265"/>
      <c r="I24" s="1265"/>
      <c r="J24" s="1264">
        <v>0</v>
      </c>
      <c r="K24" s="1264">
        <v>0</v>
      </c>
      <c r="L24" s="1237"/>
      <c r="M24" s="1259">
        <f>G21+G23</f>
        <v>28650.81</v>
      </c>
      <c r="N24" s="1259">
        <f>L21+L23</f>
        <v>31984.329000000002</v>
      </c>
      <c r="O24" s="1260"/>
      <c r="P24" s="1248"/>
      <c r="T24" s="750"/>
      <c r="U24" s="750"/>
      <c r="V24" s="750"/>
    </row>
    <row r="25" spans="1:22" ht="26.4">
      <c r="A25" s="16" t="s">
        <v>92</v>
      </c>
      <c r="B25" s="1228" t="s">
        <v>1182</v>
      </c>
      <c r="C25" s="1230"/>
      <c r="D25" s="1230"/>
      <c r="E25" s="1230"/>
      <c r="F25" s="1230"/>
      <c r="G25" s="1230"/>
      <c r="H25" s="1237"/>
      <c r="I25" s="1237"/>
      <c r="J25" s="1237"/>
      <c r="K25" s="1237"/>
      <c r="L25" s="1237"/>
      <c r="M25" s="1253"/>
      <c r="N25" s="1254"/>
      <c r="O25" s="750"/>
      <c r="P25" s="750"/>
      <c r="T25" s="750"/>
      <c r="U25" s="750"/>
      <c r="V25" s="750"/>
    </row>
    <row r="26" spans="1:22" ht="26.4">
      <c r="A26" s="1266" t="s">
        <v>93</v>
      </c>
      <c r="B26" s="1256" t="s">
        <v>1183</v>
      </c>
      <c r="C26" s="1264">
        <v>0</v>
      </c>
      <c r="D26" s="1264">
        <v>0</v>
      </c>
      <c r="E26" s="1267">
        <f>J26</f>
        <v>21.36</v>
      </c>
      <c r="F26" s="1267">
        <f>K26</f>
        <v>188.37</v>
      </c>
      <c r="G26" s="1267">
        <f>SUM(C26:F26)</f>
        <v>209.73000000000002</v>
      </c>
      <c r="H26" s="1264">
        <v>0</v>
      </c>
      <c r="I26" s="1264">
        <v>0</v>
      </c>
      <c r="J26" s="1267">
        <f>'[19]стр-ра пол.отп. 2012г.июнь'!$E$17</f>
        <v>21.36</v>
      </c>
      <c r="K26" s="1267">
        <f>'[19]стр-ра пол.отп. 2012г.июнь'!$F$17</f>
        <v>188.37</v>
      </c>
      <c r="L26" s="1267">
        <f>SUM(H26:K26)</f>
        <v>209.73000000000002</v>
      </c>
      <c r="M26" s="1253">
        <f>'[19]стр-ра пол.отп. 2012г.июнь'!$B$17</f>
        <v>209.73000000000002</v>
      </c>
      <c r="N26" s="1254"/>
      <c r="O26" s="750"/>
      <c r="P26" s="750"/>
      <c r="T26" s="750"/>
      <c r="U26" s="750"/>
      <c r="V26" s="750"/>
    </row>
    <row r="27" spans="1:22">
      <c r="A27" s="16" t="s">
        <v>1184</v>
      </c>
      <c r="B27" s="1228" t="s">
        <v>1185</v>
      </c>
      <c r="C27" s="1230"/>
      <c r="D27" s="1230"/>
      <c r="E27" s="1230"/>
      <c r="F27" s="1230"/>
      <c r="G27" s="1230"/>
      <c r="H27" s="1230"/>
      <c r="I27" s="1230"/>
      <c r="J27" s="1230"/>
      <c r="K27" s="1230"/>
      <c r="L27" s="1230"/>
      <c r="M27" s="1251"/>
      <c r="N27" s="1251"/>
      <c r="O27" s="1268"/>
      <c r="P27" s="1268"/>
      <c r="T27" s="750"/>
      <c r="U27" s="750"/>
      <c r="V27" s="750"/>
    </row>
    <row r="28" spans="1:22">
      <c r="A28" s="16" t="s">
        <v>1186</v>
      </c>
      <c r="B28" s="1228" t="s">
        <v>1187</v>
      </c>
      <c r="C28" s="1230"/>
      <c r="D28" s="1230"/>
      <c r="E28" s="1230"/>
      <c r="F28" s="1230"/>
      <c r="G28" s="1230"/>
      <c r="H28" s="1230"/>
      <c r="I28" s="1230"/>
      <c r="J28" s="1230"/>
      <c r="K28" s="1230"/>
      <c r="L28" s="1230"/>
      <c r="M28" s="1269"/>
      <c r="N28" s="1268"/>
      <c r="O28" s="1268"/>
      <c r="P28" s="1268"/>
      <c r="T28" s="750"/>
      <c r="U28" s="750"/>
      <c r="V28" s="750"/>
    </row>
    <row r="29" spans="1:22">
      <c r="A29" s="16" t="s">
        <v>1188</v>
      </c>
      <c r="B29" s="1228" t="s">
        <v>1189</v>
      </c>
      <c r="C29" s="1230"/>
      <c r="D29" s="1230"/>
      <c r="E29" s="1230"/>
      <c r="F29" s="1230"/>
      <c r="G29" s="1230"/>
      <c r="H29" s="1230"/>
      <c r="I29" s="1230"/>
      <c r="J29" s="1230"/>
      <c r="K29" s="1230"/>
      <c r="L29" s="1230"/>
      <c r="M29" s="1270"/>
      <c r="N29" s="1271"/>
      <c r="O29" s="1271"/>
      <c r="P29" s="750"/>
      <c r="T29" s="750"/>
      <c r="U29" s="750"/>
      <c r="V29" s="750"/>
    </row>
    <row r="30" spans="1:22">
      <c r="A30" s="16" t="s">
        <v>1190</v>
      </c>
      <c r="B30" s="1228" t="s">
        <v>1191</v>
      </c>
      <c r="C30" s="1230"/>
      <c r="D30" s="1230"/>
      <c r="E30" s="1230"/>
      <c r="F30" s="1230"/>
      <c r="G30" s="1230"/>
      <c r="H30" s="1230"/>
      <c r="I30" s="1230"/>
      <c r="J30" s="1230"/>
      <c r="K30" s="1230"/>
      <c r="L30" s="1230"/>
      <c r="M30" s="1270"/>
      <c r="N30" s="1271"/>
      <c r="O30" s="1271"/>
      <c r="P30" s="750"/>
      <c r="T30" s="750"/>
      <c r="U30" s="750"/>
      <c r="V30" s="750"/>
    </row>
    <row r="31" spans="1:22">
      <c r="A31" s="16" t="s">
        <v>1192</v>
      </c>
      <c r="B31" s="1228" t="s">
        <v>1193</v>
      </c>
      <c r="C31" s="1230"/>
      <c r="D31" s="1230"/>
      <c r="E31" s="1230"/>
      <c r="F31" s="1230"/>
      <c r="G31" s="1230"/>
      <c r="H31" s="1230"/>
      <c r="I31" s="1230"/>
      <c r="J31" s="1230"/>
      <c r="K31" s="1230"/>
      <c r="L31" s="1230"/>
      <c r="M31" s="1272"/>
      <c r="N31" s="750"/>
      <c r="O31" s="750"/>
      <c r="P31" s="750"/>
      <c r="T31" s="750"/>
      <c r="U31" s="750"/>
      <c r="V31" s="750"/>
    </row>
    <row r="32" spans="1:22" ht="37.5" customHeight="1">
      <c r="A32" s="16" t="s">
        <v>1194</v>
      </c>
      <c r="B32" s="1228" t="s">
        <v>1195</v>
      </c>
      <c r="C32" s="1230"/>
      <c r="D32" s="1230"/>
      <c r="E32" s="1230"/>
      <c r="F32" s="1230"/>
      <c r="G32" s="1230"/>
      <c r="H32" s="1230"/>
      <c r="I32" s="1230"/>
      <c r="J32" s="1230"/>
      <c r="K32" s="1230"/>
      <c r="L32" s="1230"/>
      <c r="M32" s="1222"/>
      <c r="T32" s="750"/>
      <c r="U32" s="750"/>
      <c r="V32" s="750"/>
    </row>
    <row r="33" spans="1:22" ht="36.75" customHeight="1">
      <c r="A33" s="16" t="s">
        <v>1196</v>
      </c>
      <c r="B33" s="1228" t="s">
        <v>1197</v>
      </c>
      <c r="C33" s="1230"/>
      <c r="D33" s="1230"/>
      <c r="E33" s="1230"/>
      <c r="F33" s="1230"/>
      <c r="G33" s="1230"/>
      <c r="H33" s="1230"/>
      <c r="I33" s="1230"/>
      <c r="J33" s="1230"/>
      <c r="K33" s="1230"/>
      <c r="L33" s="1230"/>
      <c r="M33" s="1222"/>
      <c r="T33" s="750"/>
      <c r="U33" s="750"/>
      <c r="V33" s="750"/>
    </row>
    <row r="34" spans="1:22" ht="26.4">
      <c r="A34" s="16" t="s">
        <v>1198</v>
      </c>
      <c r="B34" s="1228" t="s">
        <v>1199</v>
      </c>
      <c r="C34" s="1230"/>
      <c r="D34" s="1230"/>
      <c r="E34" s="1230"/>
      <c r="F34" s="1230"/>
      <c r="G34" s="1230"/>
      <c r="H34" s="1230"/>
      <c r="I34" s="1230"/>
      <c r="J34" s="1230"/>
      <c r="K34" s="1230"/>
      <c r="L34" s="1230"/>
      <c r="M34" s="1222"/>
      <c r="T34" s="750"/>
      <c r="U34" s="750"/>
      <c r="V34" s="750"/>
    </row>
    <row r="35" spans="1:22">
      <c r="A35" s="1273" t="s">
        <v>1200</v>
      </c>
      <c r="B35" s="1256" t="s">
        <v>1201</v>
      </c>
      <c r="C35" s="1274">
        <f>5927.9-C26</f>
        <v>5927.9</v>
      </c>
      <c r="D35" s="1258">
        <f>SUM(D36:D45)</f>
        <v>0</v>
      </c>
      <c r="E35" s="420">
        <f>(6611+53.3)-E26</f>
        <v>6642.9400000000005</v>
      </c>
      <c r="F35" s="420">
        <f>(231.8+247.4)-F26</f>
        <v>290.83000000000004</v>
      </c>
      <c r="G35" s="1257">
        <f>SUM(C35:F35)</f>
        <v>12861.67</v>
      </c>
      <c r="H35" s="1257">
        <f>'[19]стр-ра пол.отп. 2012г.июнь'!$C$14</f>
        <v>4940.6400000000003</v>
      </c>
      <c r="I35" s="1257">
        <f>'[19]стр-ра пол.отп. 2012г.июнь'!$D$14</f>
        <v>0</v>
      </c>
      <c r="J35" s="1257">
        <f>'[19]стр-ра пол.отп. 2012г.июнь'!$E$14</f>
        <v>4637.9399999999996</v>
      </c>
      <c r="K35" s="1257">
        <f>'[19]стр-ра пол.отп. 2012г.июнь'!$F$14</f>
        <v>54.15</v>
      </c>
      <c r="L35" s="1257">
        <f>SUM(H35:K35)</f>
        <v>9632.73</v>
      </c>
      <c r="M35" s="1254">
        <f>'[19]стр-ра пол.отп. 2012г.июнь'!$B$14</f>
        <v>9632.73</v>
      </c>
      <c r="N35" s="1254"/>
      <c r="T35" s="750"/>
      <c r="U35" s="750"/>
      <c r="V35" s="750"/>
    </row>
    <row r="36" spans="1:22" ht="26.4">
      <c r="A36" s="16" t="s">
        <v>1202</v>
      </c>
      <c r="B36" s="1228" t="s">
        <v>1203</v>
      </c>
      <c r="C36" s="1230"/>
      <c r="D36" s="1230"/>
      <c r="E36" s="1230"/>
      <c r="F36" s="1236"/>
      <c r="G36" s="1236"/>
      <c r="H36" s="1230"/>
      <c r="I36" s="1230"/>
      <c r="J36" s="1230"/>
      <c r="K36" s="1275"/>
      <c r="L36" s="1275"/>
      <c r="M36" s="1222"/>
      <c r="T36" s="750"/>
      <c r="U36" s="750"/>
      <c r="V36" s="750"/>
    </row>
    <row r="37" spans="1:22" ht="26.4">
      <c r="A37" s="16" t="s">
        <v>1204</v>
      </c>
      <c r="B37" s="1228" t="s">
        <v>1205</v>
      </c>
      <c r="C37" s="1230"/>
      <c r="D37" s="1230"/>
      <c r="E37" s="1230"/>
      <c r="F37" s="1236"/>
      <c r="G37" s="1236"/>
      <c r="H37" s="1230"/>
      <c r="I37" s="1230"/>
      <c r="J37" s="1230"/>
      <c r="K37" s="1236"/>
      <c r="L37" s="1236"/>
      <c r="M37" s="1222"/>
      <c r="T37" s="750"/>
      <c r="U37" s="750"/>
      <c r="V37" s="750"/>
    </row>
    <row r="38" spans="1:22" ht="26.4">
      <c r="A38" s="16" t="s">
        <v>1206</v>
      </c>
      <c r="B38" s="1228" t="s">
        <v>1207</v>
      </c>
      <c r="C38" s="1230"/>
      <c r="D38" s="1230"/>
      <c r="E38" s="1230"/>
      <c r="F38" s="1236"/>
      <c r="G38" s="1236"/>
      <c r="H38" s="1230"/>
      <c r="I38" s="1230"/>
      <c r="J38" s="1230"/>
      <c r="K38" s="1236"/>
      <c r="L38" s="1236"/>
      <c r="M38" s="1222"/>
      <c r="T38" s="750"/>
      <c r="U38" s="750"/>
      <c r="V38" s="750"/>
    </row>
    <row r="39" spans="1:22">
      <c r="A39" s="16" t="s">
        <v>1208</v>
      </c>
      <c r="B39" s="1262" t="s">
        <v>1209</v>
      </c>
      <c r="C39" s="75">
        <v>0</v>
      </c>
      <c r="D39" s="75">
        <v>0</v>
      </c>
      <c r="E39" s="75">
        <v>0</v>
      </c>
      <c r="F39" s="75">
        <v>0</v>
      </c>
      <c r="G39" s="215">
        <f>SUM(C39:F39)</f>
        <v>0</v>
      </c>
      <c r="H39" s="75">
        <v>0</v>
      </c>
      <c r="I39" s="75">
        <v>0</v>
      </c>
      <c r="J39" s="75">
        <v>0</v>
      </c>
      <c r="K39" s="75">
        <v>0</v>
      </c>
      <c r="L39" s="215">
        <f>SUM(H39:K39)</f>
        <v>0</v>
      </c>
      <c r="M39" s="1222"/>
      <c r="T39" s="750"/>
      <c r="U39" s="750"/>
      <c r="V39" s="750"/>
    </row>
    <row r="40" spans="1:22" ht="26.4">
      <c r="A40" s="16" t="s">
        <v>1210</v>
      </c>
      <c r="B40" s="1228" t="s">
        <v>1211</v>
      </c>
      <c r="C40" s="1230"/>
      <c r="D40" s="1230"/>
      <c r="E40" s="1230"/>
      <c r="F40" s="1230"/>
      <c r="G40" s="1230"/>
      <c r="H40" s="1230"/>
      <c r="I40" s="1230"/>
      <c r="J40" s="1230"/>
      <c r="K40" s="1230"/>
      <c r="L40" s="1230"/>
      <c r="M40" s="1222"/>
      <c r="T40" s="750"/>
      <c r="U40" s="750"/>
      <c r="V40" s="750"/>
    </row>
    <row r="41" spans="1:22" ht="26.4">
      <c r="A41" s="16" t="s">
        <v>1212</v>
      </c>
      <c r="B41" s="1228" t="s">
        <v>1213</v>
      </c>
      <c r="C41" s="1230"/>
      <c r="D41" s="1230"/>
      <c r="E41" s="1230"/>
      <c r="F41" s="1230"/>
      <c r="G41" s="1230"/>
      <c r="H41" s="1230"/>
      <c r="I41" s="1230"/>
      <c r="J41" s="1230"/>
      <c r="K41" s="1230"/>
      <c r="L41" s="1230"/>
      <c r="M41" s="1222"/>
      <c r="T41" s="750"/>
      <c r="U41" s="750"/>
      <c r="V41" s="750"/>
    </row>
    <row r="42" spans="1:22" ht="26.4">
      <c r="A42" s="16" t="s">
        <v>1214</v>
      </c>
      <c r="B42" s="1228" t="s">
        <v>1215</v>
      </c>
      <c r="C42" s="1230"/>
      <c r="D42" s="1230"/>
      <c r="E42" s="1230"/>
      <c r="F42" s="1230"/>
      <c r="G42" s="1230"/>
      <c r="H42" s="1230"/>
      <c r="I42" s="1230"/>
      <c r="J42" s="1230"/>
      <c r="K42" s="1230"/>
      <c r="L42" s="1230"/>
      <c r="M42" s="1222"/>
      <c r="T42" s="750"/>
      <c r="U42" s="750"/>
      <c r="V42" s="750"/>
    </row>
    <row r="43" spans="1:22" ht="39.6">
      <c r="A43" s="16" t="s">
        <v>1216</v>
      </c>
      <c r="B43" s="1228" t="s">
        <v>1217</v>
      </c>
      <c r="C43" s="1230"/>
      <c r="D43" s="1230"/>
      <c r="E43" s="1230"/>
      <c r="F43" s="1230"/>
      <c r="G43" s="1230"/>
      <c r="H43" s="1230"/>
      <c r="I43" s="1230"/>
      <c r="J43" s="1230"/>
      <c r="K43" s="1230"/>
      <c r="L43" s="1230"/>
      <c r="M43" s="1222"/>
      <c r="T43" s="750"/>
      <c r="U43" s="750"/>
      <c r="V43" s="750"/>
    </row>
    <row r="44" spans="1:22" ht="14.25" customHeight="1">
      <c r="A44" s="16" t="s">
        <v>1218</v>
      </c>
      <c r="B44" s="1228" t="s">
        <v>1219</v>
      </c>
      <c r="C44" s="1230"/>
      <c r="D44" s="1230"/>
      <c r="E44" s="1230"/>
      <c r="F44" s="1230"/>
      <c r="G44" s="1230"/>
      <c r="H44" s="1230"/>
      <c r="I44" s="1230"/>
      <c r="J44" s="1230"/>
      <c r="K44" s="1230"/>
      <c r="L44" s="1230"/>
      <c r="M44" s="1222"/>
    </row>
    <row r="45" spans="1:22">
      <c r="A45" s="16" t="s">
        <v>1220</v>
      </c>
      <c r="B45" s="1228" t="s">
        <v>1221</v>
      </c>
      <c r="C45" s="1230"/>
      <c r="D45" s="1230"/>
      <c r="E45" s="1230"/>
      <c r="F45" s="1230"/>
      <c r="G45" s="1230"/>
      <c r="H45" s="1230"/>
      <c r="I45" s="1230"/>
      <c r="J45" s="1230"/>
      <c r="K45" s="1230"/>
      <c r="L45" s="1230"/>
      <c r="M45" s="1222"/>
    </row>
    <row r="46" spans="1:22" ht="15.75" customHeight="1">
      <c r="A46" s="16" t="s">
        <v>1222</v>
      </c>
      <c r="B46" s="1228" t="s">
        <v>1223</v>
      </c>
      <c r="C46" s="1230"/>
      <c r="D46" s="1230"/>
      <c r="E46" s="1230"/>
      <c r="F46" s="1230"/>
      <c r="G46" s="1230"/>
      <c r="H46" s="1230"/>
      <c r="I46" s="1230"/>
      <c r="J46" s="1230"/>
      <c r="K46" s="1230"/>
      <c r="L46" s="1230"/>
      <c r="M46" s="1222"/>
    </row>
    <row r="47" spans="1:22" ht="15.75" customHeight="1">
      <c r="B47" s="1276"/>
      <c r="C47" s="1277"/>
      <c r="D47" s="1277"/>
      <c r="E47" s="1277"/>
      <c r="F47" s="1277"/>
      <c r="G47" s="1277"/>
      <c r="H47" s="1277"/>
      <c r="I47" s="1277"/>
      <c r="J47" s="1277"/>
      <c r="K47" s="1277"/>
      <c r="L47" s="1278"/>
    </row>
    <row r="49" spans="1:12" s="28" customFormat="1" ht="15.6">
      <c r="B49" s="48"/>
      <c r="C49" s="29"/>
      <c r="J49" s="17"/>
      <c r="L49" s="49"/>
    </row>
    <row r="50" spans="1:12" s="669" customFormat="1" ht="23.25" customHeight="1">
      <c r="A50" s="783" t="s">
        <v>731</v>
      </c>
      <c r="B50" s="667"/>
      <c r="C50" s="668"/>
      <c r="H50" s="670"/>
    </row>
    <row r="51" spans="1:12" s="669" customFormat="1" ht="15" customHeight="1">
      <c r="A51" s="783" t="s">
        <v>732</v>
      </c>
      <c r="B51" s="671"/>
      <c r="C51" s="668"/>
      <c r="E51" s="672"/>
      <c r="F51" s="672"/>
      <c r="H51" s="1279" t="s">
        <v>733</v>
      </c>
    </row>
    <row r="52" spans="1:12" s="28" customFormat="1">
      <c r="A52" s="1280"/>
      <c r="H52" s="751"/>
    </row>
    <row r="53" spans="1:12" s="28" customFormat="1">
      <c r="A53" s="1280"/>
      <c r="H53" s="751"/>
    </row>
    <row r="54" spans="1:12" s="28" customFormat="1">
      <c r="A54" s="1280"/>
      <c r="H54" s="751"/>
    </row>
    <row r="55" spans="1:12" s="28" customFormat="1">
      <c r="A55" s="1280"/>
      <c r="H55" s="751"/>
    </row>
    <row r="56" spans="1:12" s="28" customFormat="1">
      <c r="A56" s="1280"/>
      <c r="H56" s="751"/>
    </row>
    <row r="57" spans="1:12" s="28" customFormat="1">
      <c r="A57" s="1280"/>
      <c r="H57" s="751"/>
    </row>
    <row r="58" spans="1:12" s="28" customFormat="1">
      <c r="A58" s="1280"/>
      <c r="H58" s="751"/>
    </row>
    <row r="59" spans="1:12" s="28" customFormat="1">
      <c r="A59" s="1280"/>
      <c r="H59" s="751"/>
    </row>
    <row r="60" spans="1:12" s="28" customFormat="1">
      <c r="A60" s="1280"/>
      <c r="H60" s="751"/>
    </row>
    <row r="63" spans="1:12" s="28" customFormat="1"/>
    <row r="64" spans="1:12" s="28" customFormat="1"/>
    <row r="65" spans="1:1" s="28" customFormat="1">
      <c r="A65" s="1281" t="s">
        <v>227</v>
      </c>
    </row>
    <row r="66" spans="1:1" s="28" customFormat="1">
      <c r="A66" s="1281" t="s">
        <v>1224</v>
      </c>
    </row>
    <row r="67" spans="1:1" s="28" customFormat="1"/>
    <row r="68" spans="1:1" s="28" customFormat="1"/>
  </sheetData>
  <mergeCells count="2">
    <mergeCell ref="A7:A10"/>
    <mergeCell ref="B7:B10"/>
  </mergeCells>
  <printOptions horizontalCentered="1"/>
  <pageMargins left="0.78740157480314965" right="0.78740157480314965" top="0.59055118110236227" bottom="0.39370078740157483" header="0.51181102362204722" footer="3.937007874015748E-2"/>
  <pageSetup paperSize="9" scale="87" orientation="landscape" r:id="rId1"/>
  <headerFooter alignWithMargins="0">
    <oddFooter>&amp;R&amp;8&amp;P</oddFooter>
  </headerFooter>
  <rowBreaks count="1" manualBreakCount="1">
    <brk id="34" max="11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4">
    <tabColor rgb="FF7030A0"/>
  </sheetPr>
  <dimension ref="A1:Q82"/>
  <sheetViews>
    <sheetView zoomScale="85" zoomScaleNormal="85" workbookViewId="0">
      <selection activeCell="K8" sqref="K8"/>
    </sheetView>
  </sheetViews>
  <sheetFormatPr defaultColWidth="9.109375" defaultRowHeight="13.8"/>
  <cols>
    <col min="1" max="1" width="11.5546875" style="1511" customWidth="1"/>
    <col min="2" max="2" width="62" style="1511" customWidth="1"/>
    <col min="3" max="3" width="12.6640625" style="1511" customWidth="1"/>
    <col min="4" max="4" width="17.6640625" style="1511" customWidth="1"/>
    <col min="5" max="5" width="17.6640625" style="1511" hidden="1" customWidth="1"/>
    <col min="6" max="6" width="17.6640625" style="1511" customWidth="1"/>
    <col min="7" max="8" width="17.6640625" style="1511" hidden="1" customWidth="1"/>
    <col min="9" max="11" width="17.6640625" style="1511" customWidth="1"/>
    <col min="12" max="12" width="9.109375" style="1511"/>
    <col min="13" max="17" width="0" style="1511" hidden="1" customWidth="1"/>
    <col min="18" max="16384" width="9.109375" style="1511"/>
  </cols>
  <sheetData>
    <row r="1" spans="1:12" ht="18.75" customHeight="1">
      <c r="A1" s="1510" t="s">
        <v>1360</v>
      </c>
      <c r="B1" s="1510"/>
      <c r="C1" s="1510"/>
      <c r="D1" s="1510"/>
      <c r="E1" s="1625"/>
      <c r="F1" s="1510"/>
      <c r="G1" s="1510"/>
      <c r="H1" s="1510"/>
      <c r="I1" s="1510"/>
      <c r="J1" s="1510"/>
      <c r="K1" s="1510"/>
    </row>
    <row r="2" spans="1:12" ht="9" customHeight="1"/>
    <row r="3" spans="1:12" ht="21" customHeight="1">
      <c r="A3" s="3065" t="s">
        <v>1304</v>
      </c>
      <c r="B3" s="3066"/>
      <c r="C3" s="3066"/>
      <c r="D3" s="1512"/>
      <c r="E3" s="1512"/>
      <c r="F3" s="1512"/>
      <c r="G3" s="1512"/>
      <c r="H3" s="1512"/>
      <c r="I3" s="1512"/>
      <c r="J3" s="1512"/>
      <c r="K3" s="1512"/>
    </row>
    <row r="4" spans="1:12" ht="18" customHeight="1">
      <c r="A4" s="1513"/>
      <c r="B4" s="1513"/>
      <c r="C4" s="1513"/>
      <c r="D4" s="1513"/>
      <c r="E4" s="1513"/>
      <c r="F4" s="1513"/>
      <c r="G4" s="1514"/>
      <c r="H4" s="1514"/>
      <c r="I4" s="1513"/>
      <c r="K4" s="751" t="s">
        <v>848</v>
      </c>
      <c r="L4" s="1515"/>
    </row>
    <row r="5" spans="1:12" ht="58.5" customHeight="1">
      <c r="A5" s="1516" t="s">
        <v>951</v>
      </c>
      <c r="B5" s="1517" t="s">
        <v>389</v>
      </c>
      <c r="C5" s="1517" t="s">
        <v>129</v>
      </c>
      <c r="D5" s="1518" t="s">
        <v>1305</v>
      </c>
      <c r="E5" s="1518" t="s">
        <v>1363</v>
      </c>
      <c r="F5" s="1518" t="s">
        <v>1306</v>
      </c>
      <c r="G5" s="1519" t="s">
        <v>1307</v>
      </c>
      <c r="H5" s="1519" t="s">
        <v>1308</v>
      </c>
      <c r="I5" s="1518" t="s">
        <v>1329</v>
      </c>
      <c r="J5" s="1518" t="s">
        <v>1361</v>
      </c>
      <c r="K5" s="1520" t="s">
        <v>1309</v>
      </c>
    </row>
    <row r="6" spans="1:12" s="1524" customFormat="1" ht="14.25" customHeight="1">
      <c r="A6" s="1521">
        <v>1</v>
      </c>
      <c r="B6" s="1522">
        <f>A6+1</f>
        <v>2</v>
      </c>
      <c r="C6" s="1523">
        <f>B6+1</f>
        <v>3</v>
      </c>
      <c r="D6" s="1523">
        <f>C6+1</f>
        <v>4</v>
      </c>
      <c r="E6" s="1523">
        <v>5</v>
      </c>
      <c r="F6" s="1523">
        <v>5</v>
      </c>
      <c r="G6" s="1523"/>
      <c r="H6" s="1523"/>
      <c r="I6" s="1523">
        <v>6</v>
      </c>
      <c r="J6" s="1523">
        <v>7</v>
      </c>
      <c r="K6" s="1523">
        <v>8</v>
      </c>
    </row>
    <row r="7" spans="1:12" ht="19.5" customHeight="1">
      <c r="A7" s="1525" t="s">
        <v>482</v>
      </c>
      <c r="B7" s="1526" t="s">
        <v>1310</v>
      </c>
      <c r="C7" s="1527" t="s">
        <v>87</v>
      </c>
      <c r="D7" s="1528">
        <v>6.6000000000000003E-2</v>
      </c>
      <c r="E7" s="1528">
        <v>4.5999999999999999E-2</v>
      </c>
      <c r="F7" s="1528">
        <v>4.5999999999999999E-2</v>
      </c>
      <c r="G7" s="1529"/>
      <c r="H7" s="1530"/>
      <c r="I7" s="1528">
        <v>5.5E-2</v>
      </c>
      <c r="J7" s="1531">
        <v>0.05</v>
      </c>
      <c r="K7" s="1532">
        <v>5.3999999999999999E-2</v>
      </c>
    </row>
    <row r="8" spans="1:12" ht="19.5" customHeight="1">
      <c r="A8" s="1525" t="s">
        <v>483</v>
      </c>
      <c r="B8" s="1526" t="s">
        <v>1311</v>
      </c>
      <c r="C8" s="1527" t="s">
        <v>87</v>
      </c>
      <c r="D8" s="1533"/>
      <c r="E8" s="1533">
        <v>0.01</v>
      </c>
      <c r="F8" s="1528">
        <v>0.01</v>
      </c>
      <c r="G8" s="1534"/>
      <c r="H8" s="1535">
        <v>0.01</v>
      </c>
      <c r="I8" s="1528">
        <v>0.01</v>
      </c>
      <c r="J8" s="1528">
        <v>0.01</v>
      </c>
      <c r="K8" s="1528">
        <v>0.01</v>
      </c>
    </row>
    <row r="9" spans="1:12" ht="19.5" customHeight="1">
      <c r="A9" s="1525" t="s">
        <v>1312</v>
      </c>
      <c r="B9" s="1526" t="s">
        <v>1313</v>
      </c>
      <c r="C9" s="1527" t="s">
        <v>769</v>
      </c>
      <c r="D9" s="1536"/>
      <c r="E9" s="1536">
        <f>П.2.1.!K7</f>
        <v>0</v>
      </c>
      <c r="F9" s="1536">
        <f>П.2.1.!L7</f>
        <v>664.83879999999999</v>
      </c>
      <c r="G9" s="1537">
        <f>$F$9</f>
        <v>664.83879999999999</v>
      </c>
      <c r="H9" s="1537">
        <f>$F$9</f>
        <v>664.83879999999999</v>
      </c>
      <c r="I9" s="1536">
        <f>F9</f>
        <v>664.83879999999999</v>
      </c>
      <c r="J9" s="1536">
        <f>I9</f>
        <v>664.83879999999999</v>
      </c>
      <c r="K9" s="1620">
        <f>J9</f>
        <v>664.83879999999999</v>
      </c>
    </row>
    <row r="10" spans="1:12" ht="19.5" customHeight="1">
      <c r="A10" s="1525" t="s">
        <v>1314</v>
      </c>
      <c r="B10" s="1526" t="s">
        <v>1315</v>
      </c>
      <c r="C10" s="1527" t="s">
        <v>87</v>
      </c>
      <c r="D10" s="1533"/>
      <c r="E10" s="1533">
        <v>0</v>
      </c>
      <c r="F10" s="1528">
        <f>IF(D9=0,0,(F9-D9)/D9)</f>
        <v>0</v>
      </c>
      <c r="G10" s="1535">
        <f>IF(F9=0,0,(G9-F9)/F9)</f>
        <v>0</v>
      </c>
      <c r="H10" s="1535">
        <f>IF(G9=0,0,(H9-G9)/G9)</f>
        <v>0</v>
      </c>
      <c r="I10" s="1528">
        <f>IF(F9=0,0,(I9-F9)/F9)</f>
        <v>0</v>
      </c>
      <c r="J10" s="1528">
        <f>IF(I9=0,0,(J9-I9)/I9)</f>
        <v>0</v>
      </c>
      <c r="K10" s="1528">
        <f>IF(J9=0,0,(K9-J9)/J9)</f>
        <v>0</v>
      </c>
    </row>
    <row r="11" spans="1:12" ht="19.5" customHeight="1">
      <c r="A11" s="1525" t="s">
        <v>1316</v>
      </c>
      <c r="B11" s="1538" t="s">
        <v>1317</v>
      </c>
      <c r="C11" s="1539"/>
      <c r="D11" s="1540"/>
      <c r="E11" s="1540"/>
      <c r="F11" s="1540"/>
      <c r="G11" s="1541"/>
      <c r="H11" s="1541"/>
      <c r="I11" s="1540">
        <v>0.75</v>
      </c>
      <c r="J11" s="1540">
        <v>0.75</v>
      </c>
      <c r="K11" s="1540">
        <v>0.75</v>
      </c>
    </row>
    <row r="12" spans="1:12" ht="19.5" customHeight="1">
      <c r="A12" s="1542" t="s">
        <v>1318</v>
      </c>
      <c r="B12" s="1538" t="s">
        <v>1319</v>
      </c>
      <c r="C12" s="1539"/>
      <c r="D12" s="1540"/>
      <c r="E12" s="1540">
        <f>(1+E7)</f>
        <v>1.046</v>
      </c>
      <c r="F12" s="1543">
        <f>(1+F7)</f>
        <v>1.046</v>
      </c>
      <c r="G12" s="1541"/>
      <c r="H12" s="1541"/>
      <c r="I12" s="1543">
        <f>(1+I7)*(1-I8)*(1+I10*I11)</f>
        <v>1.0444499999999999</v>
      </c>
      <c r="J12" s="1543">
        <f>(1+J7)*(1-J8)*(1+J10*J11)</f>
        <v>1.0395000000000001</v>
      </c>
      <c r="K12" s="1667">
        <f>(1+K7)*(1-K8)*(1+K10*K11)</f>
        <v>1.0434600000000001</v>
      </c>
    </row>
    <row r="13" spans="1:12" ht="60.75" customHeight="1">
      <c r="A13" s="1544" t="s">
        <v>1320</v>
      </c>
      <c r="B13" s="1545" t="s">
        <v>1321</v>
      </c>
      <c r="C13" s="1546" t="s">
        <v>87</v>
      </c>
      <c r="D13" s="1547"/>
      <c r="E13" s="1547">
        <v>1</v>
      </c>
      <c r="F13" s="1548">
        <v>1</v>
      </c>
      <c r="G13" s="1547"/>
      <c r="H13" s="1547"/>
      <c r="I13" s="1548">
        <v>2</v>
      </c>
      <c r="J13" s="1548">
        <v>2</v>
      </c>
      <c r="K13" s="1548">
        <v>2</v>
      </c>
    </row>
    <row r="14" spans="1:12" ht="38.25" customHeight="1">
      <c r="A14" s="1544" t="s">
        <v>1322</v>
      </c>
      <c r="B14" s="1545" t="s">
        <v>1323</v>
      </c>
      <c r="C14" s="1546"/>
      <c r="D14" s="1549">
        <v>0</v>
      </c>
      <c r="E14" s="1549">
        <v>0.503</v>
      </c>
      <c r="F14" s="1548">
        <v>0.503</v>
      </c>
      <c r="G14" s="1547"/>
      <c r="H14" s="1547"/>
      <c r="I14" s="1548"/>
      <c r="J14" s="1621">
        <f>F14*(1-1.5/100)+0.001</f>
        <v>0.49645499999999998</v>
      </c>
      <c r="K14" s="1621">
        <f>J14*(1-1.5/100)-0.001</f>
        <v>0.48800817499999999</v>
      </c>
    </row>
    <row r="15" spans="1:12" ht="30.75" customHeight="1">
      <c r="A15" s="1544" t="s">
        <v>1324</v>
      </c>
      <c r="B15" s="1545" t="s">
        <v>1325</v>
      </c>
      <c r="C15" s="1546"/>
      <c r="D15" s="1549">
        <v>0</v>
      </c>
      <c r="E15" s="1549">
        <v>0.94799999999999995</v>
      </c>
      <c r="F15" s="1548">
        <v>0.94799999999999995</v>
      </c>
      <c r="G15" s="1547"/>
      <c r="H15" s="1547"/>
      <c r="I15" s="1548"/>
      <c r="J15" s="1548">
        <f>F15</f>
        <v>0.94799999999999995</v>
      </c>
      <c r="K15" s="1548">
        <f>J15</f>
        <v>0.94799999999999995</v>
      </c>
    </row>
    <row r="16" spans="1:12" ht="36" customHeight="1">
      <c r="A16" s="1544" t="s">
        <v>1326</v>
      </c>
      <c r="B16" s="1545" t="s">
        <v>1327</v>
      </c>
      <c r="C16" s="1546"/>
      <c r="D16" s="1549">
        <v>0</v>
      </c>
      <c r="E16" s="1549">
        <v>0.65</v>
      </c>
      <c r="F16" s="1550">
        <v>0.65</v>
      </c>
      <c r="G16" s="1547"/>
      <c r="H16" s="1547"/>
      <c r="I16" s="1550"/>
      <c r="J16" s="1548"/>
      <c r="K16" s="1548"/>
    </row>
    <row r="17" spans="1:14" ht="9" customHeight="1">
      <c r="G17" s="1551"/>
    </row>
    <row r="18" spans="1:14" ht="15.6">
      <c r="A18" s="3065" t="s">
        <v>1328</v>
      </c>
      <c r="B18" s="3066"/>
      <c r="C18" s="3066"/>
      <c r="D18" s="1552"/>
      <c r="E18" s="1552"/>
      <c r="F18" s="1552"/>
      <c r="G18" s="1552"/>
      <c r="H18" s="1552"/>
      <c r="I18" s="1552"/>
      <c r="J18" s="1552"/>
      <c r="K18" s="1552"/>
    </row>
    <row r="19" spans="1:14" ht="11.25" customHeight="1">
      <c r="A19" s="1553"/>
      <c r="B19" s="1553"/>
      <c r="C19" s="1553"/>
      <c r="D19" s="1553"/>
      <c r="E19" s="1553"/>
      <c r="G19" s="1554"/>
    </row>
    <row r="20" spans="1:14" ht="44.25" customHeight="1">
      <c r="A20" s="1516" t="s">
        <v>951</v>
      </c>
      <c r="B20" s="1517" t="s">
        <v>389</v>
      </c>
      <c r="C20" s="1517" t="s">
        <v>129</v>
      </c>
      <c r="D20" s="1555" t="s">
        <v>1305</v>
      </c>
      <c r="E20" s="1518" t="s">
        <v>1362</v>
      </c>
      <c r="F20" s="1555" t="s">
        <v>1306</v>
      </c>
      <c r="G20" s="1519" t="s">
        <v>1307</v>
      </c>
      <c r="H20" s="1519" t="s">
        <v>1308</v>
      </c>
      <c r="I20" s="1555" t="s">
        <v>1329</v>
      </c>
      <c r="J20" s="1518" t="s">
        <v>1361</v>
      </c>
      <c r="K20" s="1555" t="s">
        <v>1309</v>
      </c>
    </row>
    <row r="21" spans="1:14" s="1556" customFormat="1" ht="14.25" customHeight="1">
      <c r="A21" s="1522">
        <v>1</v>
      </c>
      <c r="B21" s="1522">
        <f>A21+1</f>
        <v>2</v>
      </c>
      <c r="C21" s="1523">
        <f>B21+1</f>
        <v>3</v>
      </c>
      <c r="D21" s="1523">
        <f>C21+1</f>
        <v>4</v>
      </c>
      <c r="E21" s="1523">
        <v>5</v>
      </c>
      <c r="F21" s="1523">
        <v>5</v>
      </c>
      <c r="G21" s="1523">
        <v>7</v>
      </c>
      <c r="H21" s="1523">
        <v>8</v>
      </c>
      <c r="I21" s="1523">
        <v>6</v>
      </c>
      <c r="J21" s="1523">
        <v>7</v>
      </c>
      <c r="K21" s="1523">
        <v>8</v>
      </c>
    </row>
    <row r="22" spans="1:14">
      <c r="N22" s="1627"/>
    </row>
    <row r="23" spans="1:14" ht="15" customHeight="1">
      <c r="A23" s="1557" t="s">
        <v>293</v>
      </c>
      <c r="B23" s="1558" t="s">
        <v>779</v>
      </c>
      <c r="C23" s="1559" t="s">
        <v>84</v>
      </c>
      <c r="D23" s="1560">
        <f>SUM(D24:D25)</f>
        <v>273</v>
      </c>
      <c r="E23" s="1560">
        <f>SUM(E24:E25)</f>
        <v>1098.1718876144619</v>
      </c>
      <c r="F23" s="1560">
        <f t="shared" ref="F23:K23" si="0">SUM(F24:F25)</f>
        <v>285.55799999999999</v>
      </c>
      <c r="G23" s="1561">
        <f>SUM(G24:G25)</f>
        <v>0</v>
      </c>
      <c r="H23" s="1561">
        <f t="shared" si="0"/>
        <v>0</v>
      </c>
      <c r="I23" s="1560">
        <f t="shared" si="0"/>
        <v>298.25105309999998</v>
      </c>
      <c r="J23" s="1560">
        <f t="shared" si="0"/>
        <v>310.03196969744999</v>
      </c>
      <c r="K23" s="1560" t="e">
        <f t="shared" si="0"/>
        <v>#REF!</v>
      </c>
    </row>
    <row r="24" spans="1:14">
      <c r="A24" s="1562" t="s">
        <v>94</v>
      </c>
      <c r="B24" s="1563" t="s">
        <v>781</v>
      </c>
      <c r="C24" s="1564" t="s">
        <v>84</v>
      </c>
      <c r="D24" s="465">
        <f>'НВВ на содержание'!D11</f>
        <v>0</v>
      </c>
      <c r="E24" s="1565">
        <v>763.3718876144618</v>
      </c>
      <c r="F24" s="465">
        <f>D24*$F$12</f>
        <v>0</v>
      </c>
      <c r="G24" s="1566"/>
      <c r="H24" s="1566"/>
      <c r="I24" s="465">
        <f>F24*$I$12</f>
        <v>0</v>
      </c>
      <c r="J24" s="465">
        <f>I24*$J$12</f>
        <v>0</v>
      </c>
      <c r="K24" s="1565" t="e">
        <f>#REF!</f>
        <v>#REF!</v>
      </c>
    </row>
    <row r="25" spans="1:14" ht="41.4">
      <c r="A25" s="1562" t="s">
        <v>1330</v>
      </c>
      <c r="B25" s="1563" t="s">
        <v>783</v>
      </c>
      <c r="C25" s="1564" t="s">
        <v>84</v>
      </c>
      <c r="D25" s="1565">
        <f>'НВВ на содержание'!D12</f>
        <v>273</v>
      </c>
      <c r="E25" s="1565">
        <v>334.8</v>
      </c>
      <c r="F25" s="1565">
        <f>D25*$F$12</f>
        <v>285.55799999999999</v>
      </c>
      <c r="G25" s="1566"/>
      <c r="H25" s="1566"/>
      <c r="I25" s="1565">
        <f>F25*$I$12</f>
        <v>298.25105309999998</v>
      </c>
      <c r="J25" s="1565">
        <f t="shared" ref="J25:J40" si="1">I25*$J$12</f>
        <v>310.03196969744999</v>
      </c>
      <c r="K25" s="1565" t="e">
        <f>#REF!</f>
        <v>#REF!</v>
      </c>
    </row>
    <row r="26" spans="1:14">
      <c r="A26" s="1557" t="s">
        <v>294</v>
      </c>
      <c r="B26" s="1558" t="s">
        <v>784</v>
      </c>
      <c r="C26" s="1559" t="s">
        <v>84</v>
      </c>
      <c r="D26" s="1560">
        <f>'НВВ на содержание'!D13</f>
        <v>1196.5</v>
      </c>
      <c r="E26" s="1560">
        <v>4280.7388780800002</v>
      </c>
      <c r="F26" s="1560">
        <f>D26*1.055-0.3</f>
        <v>1262.0074999999999</v>
      </c>
      <c r="G26" s="1561"/>
      <c r="H26" s="1561"/>
      <c r="I26" s="1560">
        <f>F26*$I$12</f>
        <v>1318.1037333749998</v>
      </c>
      <c r="J26" s="1560">
        <f t="shared" si="1"/>
        <v>1370.1688308433124</v>
      </c>
      <c r="K26" s="1560" t="e">
        <f>#REF!</f>
        <v>#REF!</v>
      </c>
    </row>
    <row r="27" spans="1:14">
      <c r="A27" s="1557" t="s">
        <v>86</v>
      </c>
      <c r="B27" s="1558" t="s">
        <v>785</v>
      </c>
      <c r="C27" s="1559" t="s">
        <v>84</v>
      </c>
      <c r="D27" s="1560">
        <f>SUM(D28:D29,D36:D40)</f>
        <v>50</v>
      </c>
      <c r="E27" s="1560">
        <f>SUM(E28:E29,E36:E40)</f>
        <v>537.1</v>
      </c>
      <c r="F27" s="1560">
        <f t="shared" ref="F27:K27" si="2">SUM(F28:F29,F36:F40)</f>
        <v>52.300000000000004</v>
      </c>
      <c r="G27" s="1561">
        <f>SUM(G28:G29,G36:G40)</f>
        <v>0</v>
      </c>
      <c r="H27" s="1561">
        <f t="shared" si="2"/>
        <v>0</v>
      </c>
      <c r="I27" s="1560">
        <f t="shared" si="2"/>
        <v>53.400000000000006</v>
      </c>
      <c r="J27" s="1560">
        <f t="shared" si="2"/>
        <v>55.50930000000001</v>
      </c>
      <c r="K27" s="1560">
        <f t="shared" si="2"/>
        <v>55.72076400000001</v>
      </c>
    </row>
    <row r="28" spans="1:14">
      <c r="A28" s="1562" t="s">
        <v>1331</v>
      </c>
      <c r="B28" s="1563" t="s">
        <v>787</v>
      </c>
      <c r="C28" s="1564" t="s">
        <v>84</v>
      </c>
      <c r="D28" s="1565"/>
      <c r="E28" s="1565"/>
      <c r="F28" s="1574">
        <f t="shared" ref="F28:F40" si="3">D28*$F$12</f>
        <v>0</v>
      </c>
      <c r="G28" s="1566"/>
      <c r="H28" s="1566"/>
      <c r="I28" s="1574">
        <f t="shared" ref="I28:I39" si="4">F28*$I$12</f>
        <v>0</v>
      </c>
      <c r="J28" s="1574">
        <f t="shared" si="1"/>
        <v>0</v>
      </c>
      <c r="K28" s="1622">
        <f t="shared" ref="K28:K39" si="5">I28*$K$12</f>
        <v>0</v>
      </c>
    </row>
    <row r="29" spans="1:14">
      <c r="A29" s="1562" t="s">
        <v>1332</v>
      </c>
      <c r="B29" s="1563" t="s">
        <v>790</v>
      </c>
      <c r="C29" s="1564" t="s">
        <v>84</v>
      </c>
      <c r="D29" s="465">
        <f>SUM(D30:D35)</f>
        <v>0</v>
      </c>
      <c r="E29" s="465"/>
      <c r="F29" s="1574">
        <f t="shared" si="3"/>
        <v>0</v>
      </c>
      <c r="G29" s="1566">
        <f>SUM(G30:G35)</f>
        <v>0</v>
      </c>
      <c r="H29" s="1566">
        <f>SUM(H30:H35)</f>
        <v>0</v>
      </c>
      <c r="I29" s="1574">
        <f t="shared" si="4"/>
        <v>0</v>
      </c>
      <c r="J29" s="1574">
        <f t="shared" si="1"/>
        <v>0</v>
      </c>
      <c r="K29" s="1622">
        <f t="shared" si="5"/>
        <v>0</v>
      </c>
    </row>
    <row r="30" spans="1:14" ht="19.5" customHeight="1">
      <c r="A30" s="1569" t="s">
        <v>1333</v>
      </c>
      <c r="B30" s="1570" t="s">
        <v>792</v>
      </c>
      <c r="C30" s="1564" t="s">
        <v>84</v>
      </c>
      <c r="D30" s="1565"/>
      <c r="E30" s="1565"/>
      <c r="F30" s="1574">
        <f t="shared" si="3"/>
        <v>0</v>
      </c>
      <c r="G30" s="1566"/>
      <c r="H30" s="1566"/>
      <c r="I30" s="1574">
        <f t="shared" si="4"/>
        <v>0</v>
      </c>
      <c r="J30" s="1574">
        <f t="shared" si="1"/>
        <v>0</v>
      </c>
      <c r="K30" s="1622">
        <f t="shared" si="5"/>
        <v>0</v>
      </c>
    </row>
    <row r="31" spans="1:14" ht="30" customHeight="1">
      <c r="A31" s="1569" t="s">
        <v>1334</v>
      </c>
      <c r="B31" s="1570" t="s">
        <v>794</v>
      </c>
      <c r="C31" s="1564" t="s">
        <v>84</v>
      </c>
      <c r="D31" s="1571"/>
      <c r="E31" s="1571"/>
      <c r="F31" s="1574">
        <f t="shared" si="3"/>
        <v>0</v>
      </c>
      <c r="G31" s="1572"/>
      <c r="H31" s="1572"/>
      <c r="I31" s="1574">
        <f t="shared" si="4"/>
        <v>0</v>
      </c>
      <c r="J31" s="1574">
        <f t="shared" si="1"/>
        <v>0</v>
      </c>
      <c r="K31" s="1622">
        <f t="shared" si="5"/>
        <v>0</v>
      </c>
    </row>
    <row r="32" spans="1:14" ht="18.75" customHeight="1">
      <c r="A32" s="1569" t="s">
        <v>1335</v>
      </c>
      <c r="B32" s="1570" t="s">
        <v>796</v>
      </c>
      <c r="C32" s="1564" t="s">
        <v>84</v>
      </c>
      <c r="D32" s="1565"/>
      <c r="E32" s="1565"/>
      <c r="F32" s="1574">
        <f t="shared" si="3"/>
        <v>0</v>
      </c>
      <c r="G32" s="1566"/>
      <c r="H32" s="1566"/>
      <c r="I32" s="1574">
        <f t="shared" si="4"/>
        <v>0</v>
      </c>
      <c r="J32" s="1574">
        <f t="shared" si="1"/>
        <v>0</v>
      </c>
      <c r="K32" s="1622">
        <f t="shared" si="5"/>
        <v>0</v>
      </c>
    </row>
    <row r="33" spans="1:11" ht="18" customHeight="1">
      <c r="A33" s="1569" t="s">
        <v>1336</v>
      </c>
      <c r="B33" s="1570" t="s">
        <v>798</v>
      </c>
      <c r="C33" s="1564" t="s">
        <v>84</v>
      </c>
      <c r="D33" s="1571"/>
      <c r="E33" s="1571"/>
      <c r="F33" s="1574">
        <f t="shared" si="3"/>
        <v>0</v>
      </c>
      <c r="G33" s="1572"/>
      <c r="H33" s="1572"/>
      <c r="I33" s="1574">
        <f t="shared" si="4"/>
        <v>0</v>
      </c>
      <c r="J33" s="1574">
        <f t="shared" si="1"/>
        <v>0</v>
      </c>
      <c r="K33" s="1622">
        <f t="shared" si="5"/>
        <v>0</v>
      </c>
    </row>
    <row r="34" spans="1:11" ht="15" customHeight="1">
      <c r="A34" s="1569" t="s">
        <v>1337</v>
      </c>
      <c r="B34" s="1570" t="s">
        <v>800</v>
      </c>
      <c r="C34" s="1564" t="s">
        <v>84</v>
      </c>
      <c r="D34" s="1565"/>
      <c r="E34" s="1565"/>
      <c r="F34" s="1574">
        <f t="shared" si="3"/>
        <v>0</v>
      </c>
      <c r="G34" s="1566"/>
      <c r="H34" s="1566"/>
      <c r="I34" s="1574">
        <f t="shared" si="4"/>
        <v>0</v>
      </c>
      <c r="J34" s="1574">
        <f t="shared" si="1"/>
        <v>0</v>
      </c>
      <c r="K34" s="1622">
        <f t="shared" si="5"/>
        <v>0</v>
      </c>
    </row>
    <row r="35" spans="1:11" ht="18.75" customHeight="1">
      <c r="A35" s="1569" t="s">
        <v>1338</v>
      </c>
      <c r="B35" s="1573" t="s">
        <v>802</v>
      </c>
      <c r="C35" s="1564" t="s">
        <v>84</v>
      </c>
      <c r="D35" s="1571"/>
      <c r="E35" s="1571"/>
      <c r="F35" s="1574">
        <f t="shared" si="3"/>
        <v>0</v>
      </c>
      <c r="G35" s="1572"/>
      <c r="H35" s="1572"/>
      <c r="I35" s="1574">
        <f t="shared" si="4"/>
        <v>0</v>
      </c>
      <c r="J35" s="1574">
        <f t="shared" si="1"/>
        <v>0</v>
      </c>
      <c r="K35" s="1622">
        <f t="shared" si="5"/>
        <v>0</v>
      </c>
    </row>
    <row r="36" spans="1:11" ht="17.25" customHeight="1">
      <c r="A36" s="1562" t="s">
        <v>1339</v>
      </c>
      <c r="B36" s="1563" t="s">
        <v>805</v>
      </c>
      <c r="C36" s="1564" t="s">
        <v>84</v>
      </c>
      <c r="D36" s="1571"/>
      <c r="E36" s="1571"/>
      <c r="F36" s="1574">
        <f t="shared" si="3"/>
        <v>0</v>
      </c>
      <c r="G36" s="1572"/>
      <c r="H36" s="1572"/>
      <c r="I36" s="1574">
        <f t="shared" si="4"/>
        <v>0</v>
      </c>
      <c r="J36" s="1574">
        <f t="shared" si="1"/>
        <v>0</v>
      </c>
      <c r="K36" s="1622">
        <f t="shared" si="5"/>
        <v>0</v>
      </c>
    </row>
    <row r="37" spans="1:11" ht="19.5" customHeight="1">
      <c r="A37" s="1562" t="s">
        <v>1340</v>
      </c>
      <c r="B37" s="1563" t="s">
        <v>807</v>
      </c>
      <c r="C37" s="1564" t="s">
        <v>84</v>
      </c>
      <c r="D37" s="1571"/>
      <c r="E37" s="1571"/>
      <c r="F37" s="1574">
        <f t="shared" si="3"/>
        <v>0</v>
      </c>
      <c r="G37" s="1572"/>
      <c r="H37" s="1572"/>
      <c r="I37" s="1574">
        <f t="shared" si="4"/>
        <v>0</v>
      </c>
      <c r="J37" s="1574">
        <f t="shared" si="1"/>
        <v>0</v>
      </c>
      <c r="K37" s="1622">
        <f t="shared" si="5"/>
        <v>0</v>
      </c>
    </row>
    <row r="38" spans="1:11" ht="30.75" customHeight="1">
      <c r="A38" s="1562" t="s">
        <v>1341</v>
      </c>
      <c r="B38" s="1563" t="s">
        <v>809</v>
      </c>
      <c r="C38" s="1564" t="s">
        <v>84</v>
      </c>
      <c r="D38" s="1574"/>
      <c r="E38" s="1574">
        <v>82.3</v>
      </c>
      <c r="F38" s="1574">
        <f t="shared" si="3"/>
        <v>0</v>
      </c>
      <c r="G38" s="1575"/>
      <c r="H38" s="1575"/>
      <c r="I38" s="1574">
        <f t="shared" si="4"/>
        <v>0</v>
      </c>
      <c r="J38" s="1574">
        <f t="shared" si="1"/>
        <v>0</v>
      </c>
      <c r="K38" s="1574">
        <v>0</v>
      </c>
    </row>
    <row r="39" spans="1:11">
      <c r="A39" s="1562" t="s">
        <v>1342</v>
      </c>
      <c r="B39" s="1563" t="s">
        <v>812</v>
      </c>
      <c r="C39" s="1564" t="s">
        <v>84</v>
      </c>
      <c r="D39" s="1565"/>
      <c r="E39" s="1574">
        <v>0</v>
      </c>
      <c r="F39" s="1574">
        <f t="shared" si="3"/>
        <v>0</v>
      </c>
      <c r="G39" s="1566"/>
      <c r="H39" s="1566"/>
      <c r="I39" s="1574">
        <f t="shared" si="4"/>
        <v>0</v>
      </c>
      <c r="J39" s="1574">
        <f t="shared" si="1"/>
        <v>0</v>
      </c>
      <c r="K39" s="1622">
        <f t="shared" si="5"/>
        <v>0</v>
      </c>
    </row>
    <row r="40" spans="1:11">
      <c r="A40" s="1562" t="s">
        <v>1343</v>
      </c>
      <c r="B40" s="1563" t="s">
        <v>1344</v>
      </c>
      <c r="C40" s="1564" t="s">
        <v>84</v>
      </c>
      <c r="D40" s="1571">
        <f>'НВВ на содержание'!D27</f>
        <v>50</v>
      </c>
      <c r="E40" s="1571">
        <v>454.8</v>
      </c>
      <c r="F40" s="1565">
        <f t="shared" si="3"/>
        <v>52.300000000000004</v>
      </c>
      <c r="G40" s="1572"/>
      <c r="H40" s="1572"/>
      <c r="I40" s="1623">
        <f>F40+1.1</f>
        <v>53.400000000000006</v>
      </c>
      <c r="J40" s="1565">
        <f t="shared" si="1"/>
        <v>55.50930000000001</v>
      </c>
      <c r="K40" s="1567">
        <f>I40*K12</f>
        <v>55.72076400000001</v>
      </c>
    </row>
    <row r="41" spans="1:11">
      <c r="A41" s="1557" t="s">
        <v>214</v>
      </c>
      <c r="B41" s="1576" t="s">
        <v>814</v>
      </c>
      <c r="C41" s="1559" t="s">
        <v>84</v>
      </c>
      <c r="D41" s="1577">
        <f>SUM(D42:D44)</f>
        <v>56.24</v>
      </c>
      <c r="E41" s="1577">
        <f>SUM(E42:E44)</f>
        <v>113.42</v>
      </c>
      <c r="F41" s="1578">
        <f t="shared" ref="F41:K41" si="6">SUM(F42:F44)</f>
        <v>58.827040000000004</v>
      </c>
      <c r="G41" s="1579">
        <f>SUM(G42:G44)</f>
        <v>0</v>
      </c>
      <c r="H41" s="1579">
        <f t="shared" si="6"/>
        <v>0</v>
      </c>
      <c r="I41" s="1578">
        <f t="shared" si="6"/>
        <v>61.441901928</v>
      </c>
      <c r="J41" s="1578">
        <f t="shared" si="6"/>
        <v>63.868857054156003</v>
      </c>
      <c r="K41" s="1578">
        <f t="shared" si="6"/>
        <v>64.112166985790878</v>
      </c>
    </row>
    <row r="42" spans="1:11">
      <c r="A42" s="1562" t="s">
        <v>167</v>
      </c>
      <c r="B42" s="1563" t="s">
        <v>816</v>
      </c>
      <c r="C42" s="1564" t="s">
        <v>84</v>
      </c>
      <c r="D42" s="1574">
        <v>0</v>
      </c>
      <c r="E42" s="1574"/>
      <c r="F42" s="1574">
        <f>D42*$F$12</f>
        <v>0</v>
      </c>
      <c r="G42" s="1575">
        <v>0</v>
      </c>
      <c r="H42" s="1575"/>
      <c r="I42" s="1574"/>
      <c r="J42" s="1574"/>
      <c r="K42" s="1574"/>
    </row>
    <row r="43" spans="1:11">
      <c r="A43" s="1562" t="s">
        <v>168</v>
      </c>
      <c r="B43" s="1563" t="s">
        <v>818</v>
      </c>
      <c r="C43" s="1564" t="s">
        <v>84</v>
      </c>
      <c r="D43" s="1574">
        <f>'НВВ на содержание'!D30</f>
        <v>56.24</v>
      </c>
      <c r="E43" s="1574">
        <v>113.42</v>
      </c>
      <c r="F43" s="1565">
        <f>D43*$F$12</f>
        <v>58.827040000000004</v>
      </c>
      <c r="G43" s="1580"/>
      <c r="H43" s="1580"/>
      <c r="I43" s="1565">
        <f>F43*$I$12</f>
        <v>61.441901928</v>
      </c>
      <c r="J43" s="1565">
        <f>I43*$J$12</f>
        <v>63.868857054156003</v>
      </c>
      <c r="K43" s="1567">
        <f>I43*K12</f>
        <v>64.112166985790878</v>
      </c>
    </row>
    <row r="44" spans="1:11" ht="21.75" customHeight="1">
      <c r="A44" s="1562" t="s">
        <v>1345</v>
      </c>
      <c r="B44" s="1563" t="s">
        <v>820</v>
      </c>
      <c r="C44" s="1564" t="s">
        <v>84</v>
      </c>
      <c r="D44" s="1574"/>
      <c r="E44" s="1574"/>
      <c r="F44" s="1574">
        <f>D44*$F$12</f>
        <v>0</v>
      </c>
      <c r="G44" s="1575">
        <v>0</v>
      </c>
      <c r="H44" s="1575">
        <v>0</v>
      </c>
      <c r="I44" s="1574">
        <f>F44*$I$12</f>
        <v>0</v>
      </c>
      <c r="J44" s="1574">
        <f>F44</f>
        <v>0</v>
      </c>
      <c r="K44" s="1622">
        <f>I44*$K$12</f>
        <v>0</v>
      </c>
    </row>
    <row r="45" spans="1:11" ht="28.5" customHeight="1">
      <c r="A45" s="1557"/>
      <c r="B45" s="1581" t="s">
        <v>1346</v>
      </c>
      <c r="C45" s="1559" t="s">
        <v>84</v>
      </c>
      <c r="D45" s="1582">
        <f t="shared" ref="D45:K45" si="7">D23+D26+D27+D41</f>
        <v>1575.74</v>
      </c>
      <c r="E45" s="1582">
        <f>E23+E26+E27+E41</f>
        <v>6029.430765694462</v>
      </c>
      <c r="F45" s="1560">
        <f t="shared" si="7"/>
        <v>1658.6925399999998</v>
      </c>
      <c r="G45" s="1561">
        <f>G23+G26+G27+G41</f>
        <v>0</v>
      </c>
      <c r="H45" s="1561">
        <f t="shared" si="7"/>
        <v>0</v>
      </c>
      <c r="I45" s="1560">
        <f t="shared" si="7"/>
        <v>1731.1966884030001</v>
      </c>
      <c r="J45" s="1560">
        <f t="shared" si="7"/>
        <v>1799.5789575949184</v>
      </c>
      <c r="K45" s="1560" t="e">
        <f t="shared" si="7"/>
        <v>#REF!</v>
      </c>
    </row>
    <row r="46" spans="1:11" ht="15.6">
      <c r="A46" s="3067" t="s">
        <v>1347</v>
      </c>
      <c r="B46" s="3068"/>
      <c r="C46" s="3068"/>
      <c r="D46" s="1583"/>
      <c r="E46" s="1583"/>
      <c r="F46" s="1583"/>
      <c r="G46" s="1583"/>
      <c r="H46" s="1583"/>
      <c r="I46" s="1583"/>
      <c r="J46" s="1583"/>
      <c r="K46" s="1584"/>
    </row>
    <row r="47" spans="1:11">
      <c r="A47" s="1553"/>
      <c r="B47" s="1553"/>
      <c r="C47" s="1553"/>
      <c r="D47" s="1553"/>
      <c r="E47" s="1553"/>
      <c r="F47" s="1553"/>
      <c r="G47" s="1553"/>
      <c r="H47" s="1553"/>
      <c r="I47" s="1553"/>
      <c r="J47" s="1553"/>
      <c r="K47" s="1553"/>
    </row>
    <row r="48" spans="1:11" ht="20.25" customHeight="1">
      <c r="A48" s="1557" t="s">
        <v>61</v>
      </c>
      <c r="B48" s="1585" t="s">
        <v>822</v>
      </c>
      <c r="C48" s="1559" t="s">
        <v>84</v>
      </c>
      <c r="D48" s="1574">
        <v>0</v>
      </c>
      <c r="E48" s="1574">
        <v>0</v>
      </c>
      <c r="F48" s="1574">
        <v>0</v>
      </c>
      <c r="G48" s="1575">
        <v>0</v>
      </c>
      <c r="H48" s="1575">
        <v>0</v>
      </c>
      <c r="I48" s="1574">
        <v>0</v>
      </c>
      <c r="J48" s="1574">
        <v>0</v>
      </c>
      <c r="K48" s="1574">
        <v>0</v>
      </c>
    </row>
    <row r="49" spans="1:14" ht="20.25" customHeight="1">
      <c r="A49" s="1557" t="s">
        <v>62</v>
      </c>
      <c r="B49" s="1585" t="s">
        <v>823</v>
      </c>
      <c r="C49" s="1559" t="s">
        <v>84</v>
      </c>
      <c r="D49" s="1574">
        <v>0</v>
      </c>
      <c r="E49" s="1574">
        <v>0</v>
      </c>
      <c r="F49" s="1574">
        <v>0</v>
      </c>
      <c r="G49" s="1575">
        <v>0</v>
      </c>
      <c r="H49" s="1575">
        <v>0</v>
      </c>
      <c r="I49" s="1574">
        <v>0</v>
      </c>
      <c r="J49" s="1574">
        <v>0</v>
      </c>
      <c r="K49" s="1574">
        <v>0</v>
      </c>
    </row>
    <row r="50" spans="1:14" ht="26.25" customHeight="1">
      <c r="A50" s="1557" t="s">
        <v>63</v>
      </c>
      <c r="B50" s="1585" t="s">
        <v>259</v>
      </c>
      <c r="C50" s="1559" t="s">
        <v>84</v>
      </c>
      <c r="D50" s="1574">
        <v>0</v>
      </c>
      <c r="E50" s="1574">
        <v>0</v>
      </c>
      <c r="F50" s="1574">
        <v>0</v>
      </c>
      <c r="G50" s="1575">
        <v>0</v>
      </c>
      <c r="H50" s="1575">
        <v>0</v>
      </c>
      <c r="I50" s="1574">
        <v>0</v>
      </c>
      <c r="J50" s="1574">
        <v>0</v>
      </c>
      <c r="K50" s="1574">
        <v>0</v>
      </c>
    </row>
    <row r="51" spans="1:14" ht="24.75" customHeight="1">
      <c r="A51" s="1557" t="s">
        <v>64</v>
      </c>
      <c r="B51" s="1585" t="s">
        <v>825</v>
      </c>
      <c r="C51" s="1559" t="s">
        <v>84</v>
      </c>
      <c r="D51" s="1577">
        <v>0</v>
      </c>
      <c r="E51" s="1577">
        <v>0</v>
      </c>
      <c r="F51" s="1577">
        <f>D51*$F$12</f>
        <v>0</v>
      </c>
      <c r="G51" s="1586"/>
      <c r="H51" s="1586">
        <f>0</f>
        <v>0</v>
      </c>
      <c r="I51" s="1577">
        <f>F51*$I$12</f>
        <v>0</v>
      </c>
      <c r="J51" s="1577">
        <v>0</v>
      </c>
      <c r="K51" s="1577">
        <v>0</v>
      </c>
    </row>
    <row r="52" spans="1:14" ht="23.25" customHeight="1">
      <c r="A52" s="1557" t="s">
        <v>65</v>
      </c>
      <c r="B52" s="1590" t="s">
        <v>827</v>
      </c>
      <c r="C52" s="1559" t="s">
        <v>84</v>
      </c>
      <c r="D52" s="1577" t="e">
        <f>SUM(D53:D55)</f>
        <v>#REF!</v>
      </c>
      <c r="E52" s="1577">
        <f>SUM(E53:E55)</f>
        <v>25.276828119358203</v>
      </c>
      <c r="F52" s="1577" t="e">
        <f t="shared" ref="F52:K52" si="8">SUM(F53:F55)</f>
        <v>#REF!</v>
      </c>
      <c r="G52" s="1586">
        <f>SUM(G53:G55)</f>
        <v>0</v>
      </c>
      <c r="H52" s="1586">
        <f t="shared" si="8"/>
        <v>0</v>
      </c>
      <c r="I52" s="1577" t="e">
        <f t="shared" si="8"/>
        <v>#REF!</v>
      </c>
      <c r="J52" s="1577" t="e">
        <f t="shared" si="8"/>
        <v>#REF!</v>
      </c>
      <c r="K52" s="1577" t="e">
        <f t="shared" si="8"/>
        <v>#REF!</v>
      </c>
    </row>
    <row r="53" spans="1:14" ht="15.75" customHeight="1">
      <c r="A53" s="1562" t="s">
        <v>1348</v>
      </c>
      <c r="B53" s="1563" t="s">
        <v>829</v>
      </c>
      <c r="C53" s="1564" t="s">
        <v>84</v>
      </c>
      <c r="D53" s="1574"/>
      <c r="E53" s="1574"/>
      <c r="F53" s="1574">
        <f>D53*$F$12</f>
        <v>0</v>
      </c>
      <c r="G53" s="1575"/>
      <c r="H53" s="1575"/>
      <c r="I53" s="1574"/>
      <c r="J53" s="1574"/>
      <c r="K53" s="1574"/>
    </row>
    <row r="54" spans="1:14" ht="19.5" customHeight="1">
      <c r="A54" s="1562" t="s">
        <v>1349</v>
      </c>
      <c r="B54" s="1563" t="s">
        <v>831</v>
      </c>
      <c r="C54" s="1564" t="s">
        <v>84</v>
      </c>
      <c r="D54" s="1574" t="e">
        <f>'НВВ на содержание'!D40</f>
        <v>#REF!</v>
      </c>
      <c r="E54" s="1574">
        <v>25.276828119358203</v>
      </c>
      <c r="F54" s="1574" t="e">
        <f>'НВВ на содержание'!E40</f>
        <v>#REF!</v>
      </c>
      <c r="G54" s="1574"/>
      <c r="H54" s="1574">
        <v>0</v>
      </c>
      <c r="I54" s="1574" t="e">
        <f>F54</f>
        <v>#REF!</v>
      </c>
      <c r="J54" s="1587" t="e">
        <f>I54</f>
        <v>#REF!</v>
      </c>
      <c r="K54" s="1588" t="e">
        <f>F54</f>
        <v>#REF!</v>
      </c>
    </row>
    <row r="55" spans="1:14" ht="22.5" customHeight="1">
      <c r="A55" s="1562" t="s">
        <v>1350</v>
      </c>
      <c r="B55" s="1563" t="s">
        <v>833</v>
      </c>
      <c r="C55" s="1564" t="s">
        <v>84</v>
      </c>
      <c r="D55" s="1591"/>
      <c r="E55" s="1591"/>
      <c r="F55" s="1574">
        <f>D55*$F$12</f>
        <v>0</v>
      </c>
      <c r="G55" s="1580"/>
      <c r="H55" s="1580"/>
      <c r="I55" s="1574">
        <f>F55</f>
        <v>0</v>
      </c>
      <c r="J55" s="1574">
        <f>F55</f>
        <v>0</v>
      </c>
      <c r="K55" s="1592">
        <f>J55</f>
        <v>0</v>
      </c>
      <c r="N55" s="1627">
        <v>1.6500000000000001E-2</v>
      </c>
    </row>
    <row r="56" spans="1:14" ht="35.25" customHeight="1">
      <c r="A56" s="1557" t="s">
        <v>66</v>
      </c>
      <c r="B56" s="1585" t="s">
        <v>1430</v>
      </c>
      <c r="C56" s="1559" t="s">
        <v>84</v>
      </c>
      <c r="D56" s="1591">
        <f>'НВВ на содержание'!D42</f>
        <v>311.10000000000002</v>
      </c>
      <c r="E56" s="1591">
        <f>ROUND((E26*0.357),1)</f>
        <v>1528.2</v>
      </c>
      <c r="F56" s="1593">
        <f>ROUND((F26*0.357),1)</f>
        <v>450.5</v>
      </c>
      <c r="G56" s="1593">
        <f>ROUND((G26*0.357),1)</f>
        <v>0</v>
      </c>
      <c r="H56" s="1593">
        <f>ROUND((H26*0.357),1)</f>
        <v>0</v>
      </c>
      <c r="I56" s="1619">
        <f>F56</f>
        <v>450.5</v>
      </c>
      <c r="J56" s="1619">
        <f>I56</f>
        <v>450.5</v>
      </c>
      <c r="K56" s="1626" t="e">
        <f>ROUND(($K$26*0.3165),1)</f>
        <v>#REF!</v>
      </c>
      <c r="N56" s="1626" t="e">
        <f>ROUND(($K$26*0.3165),1)</f>
        <v>#REF!</v>
      </c>
    </row>
    <row r="57" spans="1:14" ht="18.75" customHeight="1">
      <c r="A57" s="1557" t="s">
        <v>67</v>
      </c>
      <c r="B57" s="1585" t="s">
        <v>842</v>
      </c>
      <c r="C57" s="1559" t="s">
        <v>84</v>
      </c>
      <c r="D57" s="1591"/>
      <c r="E57" s="1591"/>
      <c r="F57" s="1591"/>
      <c r="G57" s="1580"/>
      <c r="H57" s="1580"/>
      <c r="I57" s="1591"/>
      <c r="J57" s="1591"/>
      <c r="K57" s="1591"/>
    </row>
    <row r="58" spans="1:14" ht="18.75" customHeight="1">
      <c r="A58" s="1557" t="s">
        <v>68</v>
      </c>
      <c r="B58" s="1585" t="s">
        <v>845</v>
      </c>
      <c r="C58" s="1559" t="s">
        <v>84</v>
      </c>
      <c r="D58" s="1574">
        <f t="shared" ref="D58:J58" si="9">(D41+D61)/0.8*0.2</f>
        <v>14.06</v>
      </c>
      <c r="E58" s="1574">
        <v>28.355000000000004</v>
      </c>
      <c r="F58" s="1574">
        <f t="shared" si="9"/>
        <v>14.706760000000001</v>
      </c>
      <c r="G58" s="1574">
        <f t="shared" si="9"/>
        <v>0</v>
      </c>
      <c r="H58" s="1574">
        <f t="shared" si="9"/>
        <v>0</v>
      </c>
      <c r="I58" s="1574">
        <f t="shared" si="9"/>
        <v>15.360475481999998</v>
      </c>
      <c r="J58" s="1574">
        <f t="shared" si="9"/>
        <v>15.967214263539001</v>
      </c>
      <c r="K58" s="1588">
        <f>ROUND(((K41+K61)/0.8*0.2),1)</f>
        <v>19.600000000000001</v>
      </c>
    </row>
    <row r="59" spans="1:14" ht="35.25" customHeight="1">
      <c r="A59" s="1557" t="s">
        <v>69</v>
      </c>
      <c r="B59" s="1585" t="s">
        <v>1496</v>
      </c>
      <c r="C59" s="1559" t="s">
        <v>84</v>
      </c>
      <c r="D59" s="1591"/>
      <c r="E59" s="1591"/>
      <c r="F59" s="1591"/>
      <c r="G59" s="1580"/>
      <c r="H59" s="1580"/>
      <c r="I59" s="1591"/>
      <c r="J59" s="1591"/>
      <c r="K59" s="1591"/>
    </row>
    <row r="60" spans="1:14" ht="26.25" customHeight="1">
      <c r="A60" s="1557" t="s">
        <v>70</v>
      </c>
      <c r="B60" s="1585" t="s">
        <v>838</v>
      </c>
      <c r="C60" s="1559" t="s">
        <v>84</v>
      </c>
      <c r="D60" s="1591">
        <f>'НВВ на содержание'!D43</f>
        <v>80.599999999999994</v>
      </c>
      <c r="E60" s="1591">
        <v>86.817156827151962</v>
      </c>
      <c r="F60" s="1591">
        <f>D60</f>
        <v>80.599999999999994</v>
      </c>
      <c r="G60" s="1594"/>
      <c r="H60" s="1594"/>
      <c r="I60" s="1591">
        <f>$F$60</f>
        <v>80.599999999999994</v>
      </c>
      <c r="J60" s="1591">
        <f>$F$60</f>
        <v>80.599999999999994</v>
      </c>
      <c r="K60" s="1588">
        <f>J60</f>
        <v>80.599999999999994</v>
      </c>
    </row>
    <row r="61" spans="1:14" ht="25.5" customHeight="1">
      <c r="A61" s="1557" t="s">
        <v>839</v>
      </c>
      <c r="B61" s="1585" t="s">
        <v>1351</v>
      </c>
      <c r="C61" s="1559" t="s">
        <v>84</v>
      </c>
      <c r="D61" s="1591"/>
      <c r="E61" s="1591"/>
      <c r="F61" s="1591"/>
      <c r="G61" s="1580"/>
      <c r="H61" s="1580"/>
      <c r="I61" s="1591"/>
      <c r="J61" s="1591"/>
      <c r="K61" s="1591">
        <v>14.4</v>
      </c>
    </row>
    <row r="62" spans="1:14" ht="30" customHeight="1">
      <c r="A62" s="1557"/>
      <c r="B62" s="1581" t="s">
        <v>1352</v>
      </c>
      <c r="C62" s="1581" t="s">
        <v>84</v>
      </c>
      <c r="D62" s="1578" t="e">
        <f t="shared" ref="D62:K62" si="10">SUM(D48:D52,D56:D61)</f>
        <v>#REF!</v>
      </c>
      <c r="E62" s="1578">
        <f>SUM(E48:E52,E56:E61)</f>
        <v>1668.6489849465102</v>
      </c>
      <c r="F62" s="1579" t="e">
        <f t="shared" si="10"/>
        <v>#REF!</v>
      </c>
      <c r="G62" s="1579">
        <f>SUM(G48:G52,G56:G61)</f>
        <v>0</v>
      </c>
      <c r="H62" s="1579">
        <f t="shared" si="10"/>
        <v>0</v>
      </c>
      <c r="I62" s="1579" t="e">
        <f t="shared" si="10"/>
        <v>#REF!</v>
      </c>
      <c r="J62" s="1578" t="e">
        <f t="shared" si="10"/>
        <v>#REF!</v>
      </c>
      <c r="K62" s="1578" t="e">
        <f t="shared" si="10"/>
        <v>#REF!</v>
      </c>
      <c r="M62" s="1589"/>
    </row>
    <row r="64" spans="1:14">
      <c r="A64" s="1595" t="s">
        <v>1495</v>
      </c>
      <c r="B64" s="1596"/>
      <c r="C64" s="1596"/>
      <c r="D64" s="1596"/>
      <c r="E64" s="1596"/>
      <c r="F64" s="1597"/>
      <c r="G64" s="1597"/>
      <c r="H64" s="1597"/>
      <c r="I64" s="1597"/>
      <c r="J64" s="1598"/>
      <c r="K64" s="1597"/>
    </row>
    <row r="65" spans="1:17" ht="56.25" customHeight="1">
      <c r="A65" s="1557">
        <v>3</v>
      </c>
      <c r="B65" s="1585" t="s">
        <v>1495</v>
      </c>
      <c r="C65" s="1559" t="s">
        <v>84</v>
      </c>
      <c r="D65" s="1591"/>
      <c r="E65" s="1591"/>
      <c r="F65" s="1591">
        <v>515</v>
      </c>
      <c r="G65" s="1591"/>
      <c r="H65" s="1591"/>
      <c r="I65" s="1591"/>
      <c r="J65" s="1591"/>
      <c r="K65" s="1591">
        <v>3493</v>
      </c>
    </row>
    <row r="66" spans="1:17">
      <c r="A66" s="1553"/>
      <c r="B66" s="1553"/>
      <c r="C66" s="1553"/>
      <c r="D66" s="1553"/>
      <c r="E66" s="1553"/>
      <c r="F66" s="1553"/>
      <c r="G66" s="1553"/>
      <c r="H66" s="1553"/>
      <c r="I66" s="1553"/>
      <c r="J66" s="1553"/>
      <c r="K66" s="1553"/>
    </row>
    <row r="67" spans="1:17">
      <c r="A67" s="1595" t="s">
        <v>1353</v>
      </c>
      <c r="B67" s="1596"/>
      <c r="C67" s="1596"/>
      <c r="D67" s="1596"/>
      <c r="E67" s="1596"/>
      <c r="F67" s="1597"/>
      <c r="G67" s="1597"/>
      <c r="H67" s="1597"/>
      <c r="I67" s="1597"/>
      <c r="J67" s="1598"/>
      <c r="K67" s="1597"/>
    </row>
    <row r="68" spans="1:17" ht="58.5" customHeight="1">
      <c r="A68" s="1557">
        <v>4</v>
      </c>
      <c r="B68" s="1599" t="s">
        <v>1354</v>
      </c>
      <c r="C68" s="1559" t="s">
        <v>84</v>
      </c>
      <c r="D68" s="1591"/>
      <c r="E68" s="465"/>
      <c r="F68" s="465">
        <v>0</v>
      </c>
      <c r="G68" s="1591"/>
      <c r="H68" s="1591"/>
      <c r="I68" s="465"/>
      <c r="J68" s="1591"/>
      <c r="K68" s="1600" t="e">
        <f>F71*F16*F13%</f>
        <v>#REF!</v>
      </c>
    </row>
    <row r="69" spans="1:17">
      <c r="A69" s="1553"/>
      <c r="B69" s="1553"/>
      <c r="C69" s="1553"/>
      <c r="D69" s="1553"/>
      <c r="E69" s="1553"/>
      <c r="F69" s="1553"/>
      <c r="G69" s="1553"/>
      <c r="H69" s="1553"/>
      <c r="I69" s="1553"/>
      <c r="J69" s="1553"/>
      <c r="K69" s="1553"/>
    </row>
    <row r="70" spans="1:17">
      <c r="A70" s="1595" t="s">
        <v>1355</v>
      </c>
      <c r="B70" s="1596"/>
      <c r="C70" s="1596"/>
      <c r="D70" s="1596"/>
      <c r="E70" s="1596"/>
      <c r="F70" s="1596"/>
      <c r="G70" s="1596"/>
      <c r="H70" s="1596"/>
      <c r="I70" s="1596"/>
      <c r="J70" s="1601"/>
      <c r="K70" s="1596"/>
      <c r="M70" t="s">
        <v>1429</v>
      </c>
      <c r="N70" s="1561"/>
      <c r="O70" s="1561"/>
      <c r="P70" s="1561"/>
      <c r="Q70" s="1561"/>
    </row>
    <row r="71" spans="1:17" ht="41.4">
      <c r="A71" s="1557">
        <v>5</v>
      </c>
      <c r="B71" s="1581" t="s">
        <v>1356</v>
      </c>
      <c r="C71" s="1559" t="s">
        <v>84</v>
      </c>
      <c r="D71" s="1561" t="e">
        <f t="shared" ref="D71:J71" si="11">D45+D62+D65</f>
        <v>#REF!</v>
      </c>
      <c r="E71" s="1561">
        <f>E45+E62+E65</f>
        <v>7698.0797506409726</v>
      </c>
      <c r="F71" s="1561" t="e">
        <f t="shared" si="11"/>
        <v>#REF!</v>
      </c>
      <c r="G71" s="1561">
        <f t="shared" si="11"/>
        <v>0</v>
      </c>
      <c r="H71" s="1561">
        <f t="shared" si="11"/>
        <v>0</v>
      </c>
      <c r="I71" s="1568" t="e">
        <f t="shared" si="11"/>
        <v>#REF!</v>
      </c>
      <c r="J71" s="1568" t="e">
        <f t="shared" si="11"/>
        <v>#REF!</v>
      </c>
      <c r="K71" s="1561" t="e">
        <f>K45+K62+K65+K68</f>
        <v>#REF!</v>
      </c>
      <c r="M71" s="1561">
        <v>11371.787699723676</v>
      </c>
      <c r="N71" s="1561"/>
      <c r="O71" s="1561"/>
      <c r="P71" s="1561"/>
      <c r="Q71" s="1561"/>
    </row>
    <row r="73" spans="1:17">
      <c r="A73" s="1602"/>
      <c r="B73" s="1603"/>
      <c r="C73" s="1604"/>
      <c r="D73" s="1604"/>
      <c r="E73" s="1604"/>
      <c r="F73" s="1604"/>
      <c r="I73" s="1604"/>
    </row>
    <row r="77" spans="1:17" s="1616" customFormat="1" ht="23.25" customHeight="1">
      <c r="A77" s="1612" t="s">
        <v>731</v>
      </c>
      <c r="B77" s="1612"/>
      <c r="C77" s="1613"/>
      <c r="D77" s="1614"/>
      <c r="E77" s="1614"/>
      <c r="F77" s="1614"/>
      <c r="G77" s="1615"/>
      <c r="H77" s="1614"/>
      <c r="I77" s="1614"/>
      <c r="J77" s="1614"/>
      <c r="K77" s="1614"/>
    </row>
    <row r="78" spans="1:17" s="1616" customFormat="1" ht="15" customHeight="1">
      <c r="A78" s="1612" t="s">
        <v>761</v>
      </c>
      <c r="B78" s="1614"/>
      <c r="C78" s="1613"/>
      <c r="D78" s="1614"/>
      <c r="E78" s="1617"/>
      <c r="F78" s="1617" t="s">
        <v>733</v>
      </c>
      <c r="G78" s="1618"/>
      <c r="H78" s="1614"/>
      <c r="I78" s="1617"/>
      <c r="J78" s="1614"/>
      <c r="K78" s="1614"/>
    </row>
    <row r="82" spans="2:2">
      <c r="B82" s="1553"/>
    </row>
  </sheetData>
  <mergeCells count="3">
    <mergeCell ref="A3:C3"/>
    <mergeCell ref="A18:C18"/>
    <mergeCell ref="A46:C46"/>
  </mergeCells>
  <dataValidations count="1">
    <dataValidation type="decimal" allowBlank="1" showInputMessage="1" showErrorMessage="1" errorTitle="Внимание" error="Допускается ввод только действительных чисел!" sqref="K8 I11:K11 H8:H9 E11:F11 I7:J9 E7:G9 G11:G16 D7:D16">
      <formula1>-9.99999999999999E+23</formula1>
      <formula2>9.99999999999999E+23</formula2>
    </dataValidation>
  </dataValidations>
  <printOptions horizontalCentered="1"/>
  <pageMargins left="0.19685039370078741" right="0.19685039370078741" top="0.39370078740157483" bottom="0.11811023622047245" header="0.31496062992125984" footer="3.937007874015748E-2"/>
  <pageSetup paperSize="9" scale="64" orientation="landscape" horizontalDpi="300" verticalDpi="300" r:id="rId1"/>
  <headerFooter>
    <oddFooter>&amp;R&amp;P</oddFooter>
  </headerFooter>
  <rowBreaks count="1" manualBreakCount="1">
    <brk id="38" max="13" man="1"/>
  </rowBreaks>
  <colBreaks count="1" manualBreakCount="1">
    <brk id="11" max="1048575" man="1"/>
  </col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5">
    <tabColor rgb="FFCCFF66"/>
  </sheetPr>
  <dimension ref="A1:M56"/>
  <sheetViews>
    <sheetView zoomScaleNormal="100" workbookViewId="0">
      <pane xSplit="1" ySplit="12" topLeftCell="B34" activePane="bottomRight" state="frozenSplit"/>
      <selection activeCell="K8" sqref="K8"/>
      <selection pane="topRight" activeCell="K8" sqref="K8"/>
      <selection pane="bottomLeft" activeCell="K8" sqref="K8"/>
      <selection pane="bottomRight" activeCell="K8" sqref="K8"/>
    </sheetView>
  </sheetViews>
  <sheetFormatPr defaultRowHeight="13.2"/>
  <cols>
    <col min="1" max="1" width="10.88671875" style="6" customWidth="1"/>
    <col min="2" max="2" width="12" style="6" customWidth="1"/>
    <col min="3" max="3" width="11.5546875" style="6" customWidth="1"/>
    <col min="4" max="4" width="11.44140625" style="6" customWidth="1"/>
    <col min="5" max="5" width="10.5546875" style="6" customWidth="1"/>
    <col min="6" max="6" width="14.88671875" style="4" customWidth="1"/>
    <col min="7" max="7" width="16.109375" style="6" customWidth="1"/>
    <col min="8" max="11" width="9.109375" style="6"/>
    <col min="12" max="12" width="11.6640625" style="6" customWidth="1"/>
    <col min="13" max="256" width="9.109375" style="6"/>
    <col min="257" max="257" width="10.88671875" style="6" customWidth="1"/>
    <col min="258" max="258" width="12" style="6" customWidth="1"/>
    <col min="259" max="259" width="11.5546875" style="6" customWidth="1"/>
    <col min="260" max="260" width="11.44140625" style="6" customWidth="1"/>
    <col min="261" max="261" width="10.5546875" style="6" customWidth="1"/>
    <col min="262" max="262" width="14.88671875" style="6" customWidth="1"/>
    <col min="263" max="263" width="16.109375" style="6" customWidth="1"/>
    <col min="264" max="512" width="9.109375" style="6"/>
    <col min="513" max="513" width="10.88671875" style="6" customWidth="1"/>
    <col min="514" max="514" width="12" style="6" customWidth="1"/>
    <col min="515" max="515" width="11.5546875" style="6" customWidth="1"/>
    <col min="516" max="516" width="11.44140625" style="6" customWidth="1"/>
    <col min="517" max="517" width="10.5546875" style="6" customWidth="1"/>
    <col min="518" max="518" width="14.88671875" style="6" customWidth="1"/>
    <col min="519" max="519" width="16.109375" style="6" customWidth="1"/>
    <col min="520" max="768" width="9.109375" style="6"/>
    <col min="769" max="769" width="10.88671875" style="6" customWidth="1"/>
    <col min="770" max="770" width="12" style="6" customWidth="1"/>
    <col min="771" max="771" width="11.5546875" style="6" customWidth="1"/>
    <col min="772" max="772" width="11.44140625" style="6" customWidth="1"/>
    <col min="773" max="773" width="10.5546875" style="6" customWidth="1"/>
    <col min="774" max="774" width="14.88671875" style="6" customWidth="1"/>
    <col min="775" max="775" width="16.109375" style="6" customWidth="1"/>
    <col min="776" max="1024" width="9.109375" style="6"/>
    <col min="1025" max="1025" width="10.88671875" style="6" customWidth="1"/>
    <col min="1026" max="1026" width="12" style="6" customWidth="1"/>
    <col min="1027" max="1027" width="11.5546875" style="6" customWidth="1"/>
    <col min="1028" max="1028" width="11.44140625" style="6" customWidth="1"/>
    <col min="1029" max="1029" width="10.5546875" style="6" customWidth="1"/>
    <col min="1030" max="1030" width="14.88671875" style="6" customWidth="1"/>
    <col min="1031" max="1031" width="16.109375" style="6" customWidth="1"/>
    <col min="1032" max="1280" width="9.109375" style="6"/>
    <col min="1281" max="1281" width="10.88671875" style="6" customWidth="1"/>
    <col min="1282" max="1282" width="12" style="6" customWidth="1"/>
    <col min="1283" max="1283" width="11.5546875" style="6" customWidth="1"/>
    <col min="1284" max="1284" width="11.44140625" style="6" customWidth="1"/>
    <col min="1285" max="1285" width="10.5546875" style="6" customWidth="1"/>
    <col min="1286" max="1286" width="14.88671875" style="6" customWidth="1"/>
    <col min="1287" max="1287" width="16.109375" style="6" customWidth="1"/>
    <col min="1288" max="1536" width="9.109375" style="6"/>
    <col min="1537" max="1537" width="10.88671875" style="6" customWidth="1"/>
    <col min="1538" max="1538" width="12" style="6" customWidth="1"/>
    <col min="1539" max="1539" width="11.5546875" style="6" customWidth="1"/>
    <col min="1540" max="1540" width="11.44140625" style="6" customWidth="1"/>
    <col min="1541" max="1541" width="10.5546875" style="6" customWidth="1"/>
    <col min="1542" max="1542" width="14.88671875" style="6" customWidth="1"/>
    <col min="1543" max="1543" width="16.109375" style="6" customWidth="1"/>
    <col min="1544" max="1792" width="9.109375" style="6"/>
    <col min="1793" max="1793" width="10.88671875" style="6" customWidth="1"/>
    <col min="1794" max="1794" width="12" style="6" customWidth="1"/>
    <col min="1795" max="1795" width="11.5546875" style="6" customWidth="1"/>
    <col min="1796" max="1796" width="11.44140625" style="6" customWidth="1"/>
    <col min="1797" max="1797" width="10.5546875" style="6" customWidth="1"/>
    <col min="1798" max="1798" width="14.88671875" style="6" customWidth="1"/>
    <col min="1799" max="1799" width="16.109375" style="6" customWidth="1"/>
    <col min="1800" max="2048" width="9.109375" style="6"/>
    <col min="2049" max="2049" width="10.88671875" style="6" customWidth="1"/>
    <col min="2050" max="2050" width="12" style="6" customWidth="1"/>
    <col min="2051" max="2051" width="11.5546875" style="6" customWidth="1"/>
    <col min="2052" max="2052" width="11.44140625" style="6" customWidth="1"/>
    <col min="2053" max="2053" width="10.5546875" style="6" customWidth="1"/>
    <col min="2054" max="2054" width="14.88671875" style="6" customWidth="1"/>
    <col min="2055" max="2055" width="16.109375" style="6" customWidth="1"/>
    <col min="2056" max="2304" width="9.109375" style="6"/>
    <col min="2305" max="2305" width="10.88671875" style="6" customWidth="1"/>
    <col min="2306" max="2306" width="12" style="6" customWidth="1"/>
    <col min="2307" max="2307" width="11.5546875" style="6" customWidth="1"/>
    <col min="2308" max="2308" width="11.44140625" style="6" customWidth="1"/>
    <col min="2309" max="2309" width="10.5546875" style="6" customWidth="1"/>
    <col min="2310" max="2310" width="14.88671875" style="6" customWidth="1"/>
    <col min="2311" max="2311" width="16.109375" style="6" customWidth="1"/>
    <col min="2312" max="2560" width="9.109375" style="6"/>
    <col min="2561" max="2561" width="10.88671875" style="6" customWidth="1"/>
    <col min="2562" max="2562" width="12" style="6" customWidth="1"/>
    <col min="2563" max="2563" width="11.5546875" style="6" customWidth="1"/>
    <col min="2564" max="2564" width="11.44140625" style="6" customWidth="1"/>
    <col min="2565" max="2565" width="10.5546875" style="6" customWidth="1"/>
    <col min="2566" max="2566" width="14.88671875" style="6" customWidth="1"/>
    <col min="2567" max="2567" width="16.109375" style="6" customWidth="1"/>
    <col min="2568" max="2816" width="9.109375" style="6"/>
    <col min="2817" max="2817" width="10.88671875" style="6" customWidth="1"/>
    <col min="2818" max="2818" width="12" style="6" customWidth="1"/>
    <col min="2819" max="2819" width="11.5546875" style="6" customWidth="1"/>
    <col min="2820" max="2820" width="11.44140625" style="6" customWidth="1"/>
    <col min="2821" max="2821" width="10.5546875" style="6" customWidth="1"/>
    <col min="2822" max="2822" width="14.88671875" style="6" customWidth="1"/>
    <col min="2823" max="2823" width="16.109375" style="6" customWidth="1"/>
    <col min="2824" max="3072" width="9.109375" style="6"/>
    <col min="3073" max="3073" width="10.88671875" style="6" customWidth="1"/>
    <col min="3074" max="3074" width="12" style="6" customWidth="1"/>
    <col min="3075" max="3075" width="11.5546875" style="6" customWidth="1"/>
    <col min="3076" max="3076" width="11.44140625" style="6" customWidth="1"/>
    <col min="3077" max="3077" width="10.5546875" style="6" customWidth="1"/>
    <col min="3078" max="3078" width="14.88671875" style="6" customWidth="1"/>
    <col min="3079" max="3079" width="16.109375" style="6" customWidth="1"/>
    <col min="3080" max="3328" width="9.109375" style="6"/>
    <col min="3329" max="3329" width="10.88671875" style="6" customWidth="1"/>
    <col min="3330" max="3330" width="12" style="6" customWidth="1"/>
    <col min="3331" max="3331" width="11.5546875" style="6" customWidth="1"/>
    <col min="3332" max="3332" width="11.44140625" style="6" customWidth="1"/>
    <col min="3333" max="3333" width="10.5546875" style="6" customWidth="1"/>
    <col min="3334" max="3334" width="14.88671875" style="6" customWidth="1"/>
    <col min="3335" max="3335" width="16.109375" style="6" customWidth="1"/>
    <col min="3336" max="3584" width="9.109375" style="6"/>
    <col min="3585" max="3585" width="10.88671875" style="6" customWidth="1"/>
    <col min="3586" max="3586" width="12" style="6" customWidth="1"/>
    <col min="3587" max="3587" width="11.5546875" style="6" customWidth="1"/>
    <col min="3588" max="3588" width="11.44140625" style="6" customWidth="1"/>
    <col min="3589" max="3589" width="10.5546875" style="6" customWidth="1"/>
    <col min="3590" max="3590" width="14.88671875" style="6" customWidth="1"/>
    <col min="3591" max="3591" width="16.109375" style="6" customWidth="1"/>
    <col min="3592" max="3840" width="9.109375" style="6"/>
    <col min="3841" max="3841" width="10.88671875" style="6" customWidth="1"/>
    <col min="3842" max="3842" width="12" style="6" customWidth="1"/>
    <col min="3843" max="3843" width="11.5546875" style="6" customWidth="1"/>
    <col min="3844" max="3844" width="11.44140625" style="6" customWidth="1"/>
    <col min="3845" max="3845" width="10.5546875" style="6" customWidth="1"/>
    <col min="3846" max="3846" width="14.88671875" style="6" customWidth="1"/>
    <col min="3847" max="3847" width="16.109375" style="6" customWidth="1"/>
    <col min="3848" max="4096" width="9.109375" style="6"/>
    <col min="4097" max="4097" width="10.88671875" style="6" customWidth="1"/>
    <col min="4098" max="4098" width="12" style="6" customWidth="1"/>
    <col min="4099" max="4099" width="11.5546875" style="6" customWidth="1"/>
    <col min="4100" max="4100" width="11.44140625" style="6" customWidth="1"/>
    <col min="4101" max="4101" width="10.5546875" style="6" customWidth="1"/>
    <col min="4102" max="4102" width="14.88671875" style="6" customWidth="1"/>
    <col min="4103" max="4103" width="16.109375" style="6" customWidth="1"/>
    <col min="4104" max="4352" width="9.109375" style="6"/>
    <col min="4353" max="4353" width="10.88671875" style="6" customWidth="1"/>
    <col min="4354" max="4354" width="12" style="6" customWidth="1"/>
    <col min="4355" max="4355" width="11.5546875" style="6" customWidth="1"/>
    <col min="4356" max="4356" width="11.44140625" style="6" customWidth="1"/>
    <col min="4357" max="4357" width="10.5546875" style="6" customWidth="1"/>
    <col min="4358" max="4358" width="14.88671875" style="6" customWidth="1"/>
    <col min="4359" max="4359" width="16.109375" style="6" customWidth="1"/>
    <col min="4360" max="4608" width="9.109375" style="6"/>
    <col min="4609" max="4609" width="10.88671875" style="6" customWidth="1"/>
    <col min="4610" max="4610" width="12" style="6" customWidth="1"/>
    <col min="4611" max="4611" width="11.5546875" style="6" customWidth="1"/>
    <col min="4612" max="4612" width="11.44140625" style="6" customWidth="1"/>
    <col min="4613" max="4613" width="10.5546875" style="6" customWidth="1"/>
    <col min="4614" max="4614" width="14.88671875" style="6" customWidth="1"/>
    <col min="4615" max="4615" width="16.109375" style="6" customWidth="1"/>
    <col min="4616" max="4864" width="9.109375" style="6"/>
    <col min="4865" max="4865" width="10.88671875" style="6" customWidth="1"/>
    <col min="4866" max="4866" width="12" style="6" customWidth="1"/>
    <col min="4867" max="4867" width="11.5546875" style="6" customWidth="1"/>
    <col min="4868" max="4868" width="11.44140625" style="6" customWidth="1"/>
    <col min="4869" max="4869" width="10.5546875" style="6" customWidth="1"/>
    <col min="4870" max="4870" width="14.88671875" style="6" customWidth="1"/>
    <col min="4871" max="4871" width="16.109375" style="6" customWidth="1"/>
    <col min="4872" max="5120" width="9.109375" style="6"/>
    <col min="5121" max="5121" width="10.88671875" style="6" customWidth="1"/>
    <col min="5122" max="5122" width="12" style="6" customWidth="1"/>
    <col min="5123" max="5123" width="11.5546875" style="6" customWidth="1"/>
    <col min="5124" max="5124" width="11.44140625" style="6" customWidth="1"/>
    <col min="5125" max="5125" width="10.5546875" style="6" customWidth="1"/>
    <col min="5126" max="5126" width="14.88671875" style="6" customWidth="1"/>
    <col min="5127" max="5127" width="16.109375" style="6" customWidth="1"/>
    <col min="5128" max="5376" width="9.109375" style="6"/>
    <col min="5377" max="5377" width="10.88671875" style="6" customWidth="1"/>
    <col min="5378" max="5378" width="12" style="6" customWidth="1"/>
    <col min="5379" max="5379" width="11.5546875" style="6" customWidth="1"/>
    <col min="5380" max="5380" width="11.44140625" style="6" customWidth="1"/>
    <col min="5381" max="5381" width="10.5546875" style="6" customWidth="1"/>
    <col min="5382" max="5382" width="14.88671875" style="6" customWidth="1"/>
    <col min="5383" max="5383" width="16.109375" style="6" customWidth="1"/>
    <col min="5384" max="5632" width="9.109375" style="6"/>
    <col min="5633" max="5633" width="10.88671875" style="6" customWidth="1"/>
    <col min="5634" max="5634" width="12" style="6" customWidth="1"/>
    <col min="5635" max="5635" width="11.5546875" style="6" customWidth="1"/>
    <col min="5636" max="5636" width="11.44140625" style="6" customWidth="1"/>
    <col min="5637" max="5637" width="10.5546875" style="6" customWidth="1"/>
    <col min="5638" max="5638" width="14.88671875" style="6" customWidth="1"/>
    <col min="5639" max="5639" width="16.109375" style="6" customWidth="1"/>
    <col min="5640" max="5888" width="9.109375" style="6"/>
    <col min="5889" max="5889" width="10.88671875" style="6" customWidth="1"/>
    <col min="5890" max="5890" width="12" style="6" customWidth="1"/>
    <col min="5891" max="5891" width="11.5546875" style="6" customWidth="1"/>
    <col min="5892" max="5892" width="11.44140625" style="6" customWidth="1"/>
    <col min="5893" max="5893" width="10.5546875" style="6" customWidth="1"/>
    <col min="5894" max="5894" width="14.88671875" style="6" customWidth="1"/>
    <col min="5895" max="5895" width="16.109375" style="6" customWidth="1"/>
    <col min="5896" max="6144" width="9.109375" style="6"/>
    <col min="6145" max="6145" width="10.88671875" style="6" customWidth="1"/>
    <col min="6146" max="6146" width="12" style="6" customWidth="1"/>
    <col min="6147" max="6147" width="11.5546875" style="6" customWidth="1"/>
    <col min="6148" max="6148" width="11.44140625" style="6" customWidth="1"/>
    <col min="6149" max="6149" width="10.5546875" style="6" customWidth="1"/>
    <col min="6150" max="6150" width="14.88671875" style="6" customWidth="1"/>
    <col min="6151" max="6151" width="16.109375" style="6" customWidth="1"/>
    <col min="6152" max="6400" width="9.109375" style="6"/>
    <col min="6401" max="6401" width="10.88671875" style="6" customWidth="1"/>
    <col min="6402" max="6402" width="12" style="6" customWidth="1"/>
    <col min="6403" max="6403" width="11.5546875" style="6" customWidth="1"/>
    <col min="6404" max="6404" width="11.44140625" style="6" customWidth="1"/>
    <col min="6405" max="6405" width="10.5546875" style="6" customWidth="1"/>
    <col min="6406" max="6406" width="14.88671875" style="6" customWidth="1"/>
    <col min="6407" max="6407" width="16.109375" style="6" customWidth="1"/>
    <col min="6408" max="6656" width="9.109375" style="6"/>
    <col min="6657" max="6657" width="10.88671875" style="6" customWidth="1"/>
    <col min="6658" max="6658" width="12" style="6" customWidth="1"/>
    <col min="6659" max="6659" width="11.5546875" style="6" customWidth="1"/>
    <col min="6660" max="6660" width="11.44140625" style="6" customWidth="1"/>
    <col min="6661" max="6661" width="10.5546875" style="6" customWidth="1"/>
    <col min="6662" max="6662" width="14.88671875" style="6" customWidth="1"/>
    <col min="6663" max="6663" width="16.109375" style="6" customWidth="1"/>
    <col min="6664" max="6912" width="9.109375" style="6"/>
    <col min="6913" max="6913" width="10.88671875" style="6" customWidth="1"/>
    <col min="6914" max="6914" width="12" style="6" customWidth="1"/>
    <col min="6915" max="6915" width="11.5546875" style="6" customWidth="1"/>
    <col min="6916" max="6916" width="11.44140625" style="6" customWidth="1"/>
    <col min="6917" max="6917" width="10.5546875" style="6" customWidth="1"/>
    <col min="6918" max="6918" width="14.88671875" style="6" customWidth="1"/>
    <col min="6919" max="6919" width="16.109375" style="6" customWidth="1"/>
    <col min="6920" max="7168" width="9.109375" style="6"/>
    <col min="7169" max="7169" width="10.88671875" style="6" customWidth="1"/>
    <col min="7170" max="7170" width="12" style="6" customWidth="1"/>
    <col min="7171" max="7171" width="11.5546875" style="6" customWidth="1"/>
    <col min="7172" max="7172" width="11.44140625" style="6" customWidth="1"/>
    <col min="7173" max="7173" width="10.5546875" style="6" customWidth="1"/>
    <col min="7174" max="7174" width="14.88671875" style="6" customWidth="1"/>
    <col min="7175" max="7175" width="16.109375" style="6" customWidth="1"/>
    <col min="7176" max="7424" width="9.109375" style="6"/>
    <col min="7425" max="7425" width="10.88671875" style="6" customWidth="1"/>
    <col min="7426" max="7426" width="12" style="6" customWidth="1"/>
    <col min="7427" max="7427" width="11.5546875" style="6" customWidth="1"/>
    <col min="7428" max="7428" width="11.44140625" style="6" customWidth="1"/>
    <col min="7429" max="7429" width="10.5546875" style="6" customWidth="1"/>
    <col min="7430" max="7430" width="14.88671875" style="6" customWidth="1"/>
    <col min="7431" max="7431" width="16.109375" style="6" customWidth="1"/>
    <col min="7432" max="7680" width="9.109375" style="6"/>
    <col min="7681" max="7681" width="10.88671875" style="6" customWidth="1"/>
    <col min="7682" max="7682" width="12" style="6" customWidth="1"/>
    <col min="7683" max="7683" width="11.5546875" style="6" customWidth="1"/>
    <col min="7684" max="7684" width="11.44140625" style="6" customWidth="1"/>
    <col min="7685" max="7685" width="10.5546875" style="6" customWidth="1"/>
    <col min="7686" max="7686" width="14.88671875" style="6" customWidth="1"/>
    <col min="7687" max="7687" width="16.109375" style="6" customWidth="1"/>
    <col min="7688" max="7936" width="9.109375" style="6"/>
    <col min="7937" max="7937" width="10.88671875" style="6" customWidth="1"/>
    <col min="7938" max="7938" width="12" style="6" customWidth="1"/>
    <col min="7939" max="7939" width="11.5546875" style="6" customWidth="1"/>
    <col min="7940" max="7940" width="11.44140625" style="6" customWidth="1"/>
    <col min="7941" max="7941" width="10.5546875" style="6" customWidth="1"/>
    <col min="7942" max="7942" width="14.88671875" style="6" customWidth="1"/>
    <col min="7943" max="7943" width="16.109375" style="6" customWidth="1"/>
    <col min="7944" max="8192" width="9.109375" style="6"/>
    <col min="8193" max="8193" width="10.88671875" style="6" customWidth="1"/>
    <col min="8194" max="8194" width="12" style="6" customWidth="1"/>
    <col min="8195" max="8195" width="11.5546875" style="6" customWidth="1"/>
    <col min="8196" max="8196" width="11.44140625" style="6" customWidth="1"/>
    <col min="8197" max="8197" width="10.5546875" style="6" customWidth="1"/>
    <col min="8198" max="8198" width="14.88671875" style="6" customWidth="1"/>
    <col min="8199" max="8199" width="16.109375" style="6" customWidth="1"/>
    <col min="8200" max="8448" width="9.109375" style="6"/>
    <col min="8449" max="8449" width="10.88671875" style="6" customWidth="1"/>
    <col min="8450" max="8450" width="12" style="6" customWidth="1"/>
    <col min="8451" max="8451" width="11.5546875" style="6" customWidth="1"/>
    <col min="8452" max="8452" width="11.44140625" style="6" customWidth="1"/>
    <col min="8453" max="8453" width="10.5546875" style="6" customWidth="1"/>
    <col min="8454" max="8454" width="14.88671875" style="6" customWidth="1"/>
    <col min="8455" max="8455" width="16.109375" style="6" customWidth="1"/>
    <col min="8456" max="8704" width="9.109375" style="6"/>
    <col min="8705" max="8705" width="10.88671875" style="6" customWidth="1"/>
    <col min="8706" max="8706" width="12" style="6" customWidth="1"/>
    <col min="8707" max="8707" width="11.5546875" style="6" customWidth="1"/>
    <col min="8708" max="8708" width="11.44140625" style="6" customWidth="1"/>
    <col min="8709" max="8709" width="10.5546875" style="6" customWidth="1"/>
    <col min="8710" max="8710" width="14.88671875" style="6" customWidth="1"/>
    <col min="8711" max="8711" width="16.109375" style="6" customWidth="1"/>
    <col min="8712" max="8960" width="9.109375" style="6"/>
    <col min="8961" max="8961" width="10.88671875" style="6" customWidth="1"/>
    <col min="8962" max="8962" width="12" style="6" customWidth="1"/>
    <col min="8963" max="8963" width="11.5546875" style="6" customWidth="1"/>
    <col min="8964" max="8964" width="11.44140625" style="6" customWidth="1"/>
    <col min="8965" max="8965" width="10.5546875" style="6" customWidth="1"/>
    <col min="8966" max="8966" width="14.88671875" style="6" customWidth="1"/>
    <col min="8967" max="8967" width="16.109375" style="6" customWidth="1"/>
    <col min="8968" max="9216" width="9.109375" style="6"/>
    <col min="9217" max="9217" width="10.88671875" style="6" customWidth="1"/>
    <col min="9218" max="9218" width="12" style="6" customWidth="1"/>
    <col min="9219" max="9219" width="11.5546875" style="6" customWidth="1"/>
    <col min="9220" max="9220" width="11.44140625" style="6" customWidth="1"/>
    <col min="9221" max="9221" width="10.5546875" style="6" customWidth="1"/>
    <col min="9222" max="9222" width="14.88671875" style="6" customWidth="1"/>
    <col min="9223" max="9223" width="16.109375" style="6" customWidth="1"/>
    <col min="9224" max="9472" width="9.109375" style="6"/>
    <col min="9473" max="9473" width="10.88671875" style="6" customWidth="1"/>
    <col min="9474" max="9474" width="12" style="6" customWidth="1"/>
    <col min="9475" max="9475" width="11.5546875" style="6" customWidth="1"/>
    <col min="9476" max="9476" width="11.44140625" style="6" customWidth="1"/>
    <col min="9477" max="9477" width="10.5546875" style="6" customWidth="1"/>
    <col min="9478" max="9478" width="14.88671875" style="6" customWidth="1"/>
    <col min="9479" max="9479" width="16.109375" style="6" customWidth="1"/>
    <col min="9480" max="9728" width="9.109375" style="6"/>
    <col min="9729" max="9729" width="10.88671875" style="6" customWidth="1"/>
    <col min="9730" max="9730" width="12" style="6" customWidth="1"/>
    <col min="9731" max="9731" width="11.5546875" style="6" customWidth="1"/>
    <col min="9732" max="9732" width="11.44140625" style="6" customWidth="1"/>
    <col min="9733" max="9733" width="10.5546875" style="6" customWidth="1"/>
    <col min="9734" max="9734" width="14.88671875" style="6" customWidth="1"/>
    <col min="9735" max="9735" width="16.109375" style="6" customWidth="1"/>
    <col min="9736" max="9984" width="9.109375" style="6"/>
    <col min="9985" max="9985" width="10.88671875" style="6" customWidth="1"/>
    <col min="9986" max="9986" width="12" style="6" customWidth="1"/>
    <col min="9987" max="9987" width="11.5546875" style="6" customWidth="1"/>
    <col min="9988" max="9988" width="11.44140625" style="6" customWidth="1"/>
    <col min="9989" max="9989" width="10.5546875" style="6" customWidth="1"/>
    <col min="9990" max="9990" width="14.88671875" style="6" customWidth="1"/>
    <col min="9991" max="9991" width="16.109375" style="6" customWidth="1"/>
    <col min="9992" max="10240" width="9.109375" style="6"/>
    <col min="10241" max="10241" width="10.88671875" style="6" customWidth="1"/>
    <col min="10242" max="10242" width="12" style="6" customWidth="1"/>
    <col min="10243" max="10243" width="11.5546875" style="6" customWidth="1"/>
    <col min="10244" max="10244" width="11.44140625" style="6" customWidth="1"/>
    <col min="10245" max="10245" width="10.5546875" style="6" customWidth="1"/>
    <col min="10246" max="10246" width="14.88671875" style="6" customWidth="1"/>
    <col min="10247" max="10247" width="16.109375" style="6" customWidth="1"/>
    <col min="10248" max="10496" width="9.109375" style="6"/>
    <col min="10497" max="10497" width="10.88671875" style="6" customWidth="1"/>
    <col min="10498" max="10498" width="12" style="6" customWidth="1"/>
    <col min="10499" max="10499" width="11.5546875" style="6" customWidth="1"/>
    <col min="10500" max="10500" width="11.44140625" style="6" customWidth="1"/>
    <col min="10501" max="10501" width="10.5546875" style="6" customWidth="1"/>
    <col min="10502" max="10502" width="14.88671875" style="6" customWidth="1"/>
    <col min="10503" max="10503" width="16.109375" style="6" customWidth="1"/>
    <col min="10504" max="10752" width="9.109375" style="6"/>
    <col min="10753" max="10753" width="10.88671875" style="6" customWidth="1"/>
    <col min="10754" max="10754" width="12" style="6" customWidth="1"/>
    <col min="10755" max="10755" width="11.5546875" style="6" customWidth="1"/>
    <col min="10756" max="10756" width="11.44140625" style="6" customWidth="1"/>
    <col min="10757" max="10757" width="10.5546875" style="6" customWidth="1"/>
    <col min="10758" max="10758" width="14.88671875" style="6" customWidth="1"/>
    <col min="10759" max="10759" width="16.109375" style="6" customWidth="1"/>
    <col min="10760" max="11008" width="9.109375" style="6"/>
    <col min="11009" max="11009" width="10.88671875" style="6" customWidth="1"/>
    <col min="11010" max="11010" width="12" style="6" customWidth="1"/>
    <col min="11011" max="11011" width="11.5546875" style="6" customWidth="1"/>
    <col min="11012" max="11012" width="11.44140625" style="6" customWidth="1"/>
    <col min="11013" max="11013" width="10.5546875" style="6" customWidth="1"/>
    <col min="11014" max="11014" width="14.88671875" style="6" customWidth="1"/>
    <col min="11015" max="11015" width="16.109375" style="6" customWidth="1"/>
    <col min="11016" max="11264" width="9.109375" style="6"/>
    <col min="11265" max="11265" width="10.88671875" style="6" customWidth="1"/>
    <col min="11266" max="11266" width="12" style="6" customWidth="1"/>
    <col min="11267" max="11267" width="11.5546875" style="6" customWidth="1"/>
    <col min="11268" max="11268" width="11.44140625" style="6" customWidth="1"/>
    <col min="11269" max="11269" width="10.5546875" style="6" customWidth="1"/>
    <col min="11270" max="11270" width="14.88671875" style="6" customWidth="1"/>
    <col min="11271" max="11271" width="16.109375" style="6" customWidth="1"/>
    <col min="11272" max="11520" width="9.109375" style="6"/>
    <col min="11521" max="11521" width="10.88671875" style="6" customWidth="1"/>
    <col min="11522" max="11522" width="12" style="6" customWidth="1"/>
    <col min="11523" max="11523" width="11.5546875" style="6" customWidth="1"/>
    <col min="11524" max="11524" width="11.44140625" style="6" customWidth="1"/>
    <col min="11525" max="11525" width="10.5546875" style="6" customWidth="1"/>
    <col min="11526" max="11526" width="14.88671875" style="6" customWidth="1"/>
    <col min="11527" max="11527" width="16.109375" style="6" customWidth="1"/>
    <col min="11528" max="11776" width="9.109375" style="6"/>
    <col min="11777" max="11777" width="10.88671875" style="6" customWidth="1"/>
    <col min="11778" max="11778" width="12" style="6" customWidth="1"/>
    <col min="11779" max="11779" width="11.5546875" style="6" customWidth="1"/>
    <col min="11780" max="11780" width="11.44140625" style="6" customWidth="1"/>
    <col min="11781" max="11781" width="10.5546875" style="6" customWidth="1"/>
    <col min="11782" max="11782" width="14.88671875" style="6" customWidth="1"/>
    <col min="11783" max="11783" width="16.109375" style="6" customWidth="1"/>
    <col min="11784" max="12032" width="9.109375" style="6"/>
    <col min="12033" max="12033" width="10.88671875" style="6" customWidth="1"/>
    <col min="12034" max="12034" width="12" style="6" customWidth="1"/>
    <col min="12035" max="12035" width="11.5546875" style="6" customWidth="1"/>
    <col min="12036" max="12036" width="11.44140625" style="6" customWidth="1"/>
    <col min="12037" max="12037" width="10.5546875" style="6" customWidth="1"/>
    <col min="12038" max="12038" width="14.88671875" style="6" customWidth="1"/>
    <col min="12039" max="12039" width="16.109375" style="6" customWidth="1"/>
    <col min="12040" max="12288" width="9.109375" style="6"/>
    <col min="12289" max="12289" width="10.88671875" style="6" customWidth="1"/>
    <col min="12290" max="12290" width="12" style="6" customWidth="1"/>
    <col min="12291" max="12291" width="11.5546875" style="6" customWidth="1"/>
    <col min="12292" max="12292" width="11.44140625" style="6" customWidth="1"/>
    <col min="12293" max="12293" width="10.5546875" style="6" customWidth="1"/>
    <col min="12294" max="12294" width="14.88671875" style="6" customWidth="1"/>
    <col min="12295" max="12295" width="16.109375" style="6" customWidth="1"/>
    <col min="12296" max="12544" width="9.109375" style="6"/>
    <col min="12545" max="12545" width="10.88671875" style="6" customWidth="1"/>
    <col min="12546" max="12546" width="12" style="6" customWidth="1"/>
    <col min="12547" max="12547" width="11.5546875" style="6" customWidth="1"/>
    <col min="12548" max="12548" width="11.44140625" style="6" customWidth="1"/>
    <col min="12549" max="12549" width="10.5546875" style="6" customWidth="1"/>
    <col min="12550" max="12550" width="14.88671875" style="6" customWidth="1"/>
    <col min="12551" max="12551" width="16.109375" style="6" customWidth="1"/>
    <col min="12552" max="12800" width="9.109375" style="6"/>
    <col min="12801" max="12801" width="10.88671875" style="6" customWidth="1"/>
    <col min="12802" max="12802" width="12" style="6" customWidth="1"/>
    <col min="12803" max="12803" width="11.5546875" style="6" customWidth="1"/>
    <col min="12804" max="12804" width="11.44140625" style="6" customWidth="1"/>
    <col min="12805" max="12805" width="10.5546875" style="6" customWidth="1"/>
    <col min="12806" max="12806" width="14.88671875" style="6" customWidth="1"/>
    <col min="12807" max="12807" width="16.109375" style="6" customWidth="1"/>
    <col min="12808" max="13056" width="9.109375" style="6"/>
    <col min="13057" max="13057" width="10.88671875" style="6" customWidth="1"/>
    <col min="13058" max="13058" width="12" style="6" customWidth="1"/>
    <col min="13059" max="13059" width="11.5546875" style="6" customWidth="1"/>
    <col min="13060" max="13060" width="11.44140625" style="6" customWidth="1"/>
    <col min="13061" max="13061" width="10.5546875" style="6" customWidth="1"/>
    <col min="13062" max="13062" width="14.88671875" style="6" customWidth="1"/>
    <col min="13063" max="13063" width="16.109375" style="6" customWidth="1"/>
    <col min="13064" max="13312" width="9.109375" style="6"/>
    <col min="13313" max="13313" width="10.88671875" style="6" customWidth="1"/>
    <col min="13314" max="13314" width="12" style="6" customWidth="1"/>
    <col min="13315" max="13315" width="11.5546875" style="6" customWidth="1"/>
    <col min="13316" max="13316" width="11.44140625" style="6" customWidth="1"/>
    <col min="13317" max="13317" width="10.5546875" style="6" customWidth="1"/>
    <col min="13318" max="13318" width="14.88671875" style="6" customWidth="1"/>
    <col min="13319" max="13319" width="16.109375" style="6" customWidth="1"/>
    <col min="13320" max="13568" width="9.109375" style="6"/>
    <col min="13569" max="13569" width="10.88671875" style="6" customWidth="1"/>
    <col min="13570" max="13570" width="12" style="6" customWidth="1"/>
    <col min="13571" max="13571" width="11.5546875" style="6" customWidth="1"/>
    <col min="13572" max="13572" width="11.44140625" style="6" customWidth="1"/>
    <col min="13573" max="13573" width="10.5546875" style="6" customWidth="1"/>
    <col min="13574" max="13574" width="14.88671875" style="6" customWidth="1"/>
    <col min="13575" max="13575" width="16.109375" style="6" customWidth="1"/>
    <col min="13576" max="13824" width="9.109375" style="6"/>
    <col min="13825" max="13825" width="10.88671875" style="6" customWidth="1"/>
    <col min="13826" max="13826" width="12" style="6" customWidth="1"/>
    <col min="13827" max="13827" width="11.5546875" style="6" customWidth="1"/>
    <col min="13828" max="13828" width="11.44140625" style="6" customWidth="1"/>
    <col min="13829" max="13829" width="10.5546875" style="6" customWidth="1"/>
    <col min="13830" max="13830" width="14.88671875" style="6" customWidth="1"/>
    <col min="13831" max="13831" width="16.109375" style="6" customWidth="1"/>
    <col min="13832" max="14080" width="9.109375" style="6"/>
    <col min="14081" max="14081" width="10.88671875" style="6" customWidth="1"/>
    <col min="14082" max="14082" width="12" style="6" customWidth="1"/>
    <col min="14083" max="14083" width="11.5546875" style="6" customWidth="1"/>
    <col min="14084" max="14084" width="11.44140625" style="6" customWidth="1"/>
    <col min="14085" max="14085" width="10.5546875" style="6" customWidth="1"/>
    <col min="14086" max="14086" width="14.88671875" style="6" customWidth="1"/>
    <col min="14087" max="14087" width="16.109375" style="6" customWidth="1"/>
    <col min="14088" max="14336" width="9.109375" style="6"/>
    <col min="14337" max="14337" width="10.88671875" style="6" customWidth="1"/>
    <col min="14338" max="14338" width="12" style="6" customWidth="1"/>
    <col min="14339" max="14339" width="11.5546875" style="6" customWidth="1"/>
    <col min="14340" max="14340" width="11.44140625" style="6" customWidth="1"/>
    <col min="14341" max="14341" width="10.5546875" style="6" customWidth="1"/>
    <col min="14342" max="14342" width="14.88671875" style="6" customWidth="1"/>
    <col min="14343" max="14343" width="16.109375" style="6" customWidth="1"/>
    <col min="14344" max="14592" width="9.109375" style="6"/>
    <col min="14593" max="14593" width="10.88671875" style="6" customWidth="1"/>
    <col min="14594" max="14594" width="12" style="6" customWidth="1"/>
    <col min="14595" max="14595" width="11.5546875" style="6" customWidth="1"/>
    <col min="14596" max="14596" width="11.44140625" style="6" customWidth="1"/>
    <col min="14597" max="14597" width="10.5546875" style="6" customWidth="1"/>
    <col min="14598" max="14598" width="14.88671875" style="6" customWidth="1"/>
    <col min="14599" max="14599" width="16.109375" style="6" customWidth="1"/>
    <col min="14600" max="14848" width="9.109375" style="6"/>
    <col min="14849" max="14849" width="10.88671875" style="6" customWidth="1"/>
    <col min="14850" max="14850" width="12" style="6" customWidth="1"/>
    <col min="14851" max="14851" width="11.5546875" style="6" customWidth="1"/>
    <col min="14852" max="14852" width="11.44140625" style="6" customWidth="1"/>
    <col min="14853" max="14853" width="10.5546875" style="6" customWidth="1"/>
    <col min="14854" max="14854" width="14.88671875" style="6" customWidth="1"/>
    <col min="14855" max="14855" width="16.109375" style="6" customWidth="1"/>
    <col min="14856" max="15104" width="9.109375" style="6"/>
    <col min="15105" max="15105" width="10.88671875" style="6" customWidth="1"/>
    <col min="15106" max="15106" width="12" style="6" customWidth="1"/>
    <col min="15107" max="15107" width="11.5546875" style="6" customWidth="1"/>
    <col min="15108" max="15108" width="11.44140625" style="6" customWidth="1"/>
    <col min="15109" max="15109" width="10.5546875" style="6" customWidth="1"/>
    <col min="15110" max="15110" width="14.88671875" style="6" customWidth="1"/>
    <col min="15111" max="15111" width="16.109375" style="6" customWidth="1"/>
    <col min="15112" max="15360" width="9.109375" style="6"/>
    <col min="15361" max="15361" width="10.88671875" style="6" customWidth="1"/>
    <col min="15362" max="15362" width="12" style="6" customWidth="1"/>
    <col min="15363" max="15363" width="11.5546875" style="6" customWidth="1"/>
    <col min="15364" max="15364" width="11.44140625" style="6" customWidth="1"/>
    <col min="15365" max="15365" width="10.5546875" style="6" customWidth="1"/>
    <col min="15366" max="15366" width="14.88671875" style="6" customWidth="1"/>
    <col min="15367" max="15367" width="16.109375" style="6" customWidth="1"/>
    <col min="15368" max="15616" width="9.109375" style="6"/>
    <col min="15617" max="15617" width="10.88671875" style="6" customWidth="1"/>
    <col min="15618" max="15618" width="12" style="6" customWidth="1"/>
    <col min="15619" max="15619" width="11.5546875" style="6" customWidth="1"/>
    <col min="15620" max="15620" width="11.44140625" style="6" customWidth="1"/>
    <col min="15621" max="15621" width="10.5546875" style="6" customWidth="1"/>
    <col min="15622" max="15622" width="14.88671875" style="6" customWidth="1"/>
    <col min="15623" max="15623" width="16.109375" style="6" customWidth="1"/>
    <col min="15624" max="15872" width="9.109375" style="6"/>
    <col min="15873" max="15873" width="10.88671875" style="6" customWidth="1"/>
    <col min="15874" max="15874" width="12" style="6" customWidth="1"/>
    <col min="15875" max="15875" width="11.5546875" style="6" customWidth="1"/>
    <col min="15876" max="15876" width="11.44140625" style="6" customWidth="1"/>
    <col min="15877" max="15877" width="10.5546875" style="6" customWidth="1"/>
    <col min="15878" max="15878" width="14.88671875" style="6" customWidth="1"/>
    <col min="15879" max="15879" width="16.109375" style="6" customWidth="1"/>
    <col min="15880" max="16128" width="9.109375" style="6"/>
    <col min="16129" max="16129" width="10.88671875" style="6" customWidth="1"/>
    <col min="16130" max="16130" width="12" style="6" customWidth="1"/>
    <col min="16131" max="16131" width="11.5546875" style="6" customWidth="1"/>
    <col min="16132" max="16132" width="11.44140625" style="6" customWidth="1"/>
    <col min="16133" max="16133" width="10.5546875" style="6" customWidth="1"/>
    <col min="16134" max="16134" width="14.88671875" style="6" customWidth="1"/>
    <col min="16135" max="16135" width="16.109375" style="6" customWidth="1"/>
    <col min="16136" max="16384" width="9.109375" style="6"/>
  </cols>
  <sheetData>
    <row r="1" spans="1:13">
      <c r="G1" s="1906" t="s">
        <v>102</v>
      </c>
      <c r="I1" s="6" t="s">
        <v>159</v>
      </c>
      <c r="L1" s="1907">
        <f>G44+G33+G49+П.2.2.утв.2015!G50+П.2.2.утв.2015!G49+П.2.2.утв.2015!G51</f>
        <v>833.26700000000005</v>
      </c>
    </row>
    <row r="2" spans="1:13" ht="15.6">
      <c r="A2" s="65" t="s">
        <v>762</v>
      </c>
      <c r="B2" s="748"/>
      <c r="C2" s="748"/>
      <c r="D2" s="748"/>
      <c r="E2" s="748"/>
      <c r="F2" s="748"/>
      <c r="G2" s="748"/>
      <c r="I2" s="6" t="s">
        <v>163</v>
      </c>
      <c r="L2" s="1907">
        <f>G33+П.2.2.утв.2015!G49</f>
        <v>238.27</v>
      </c>
      <c r="M2" s="6">
        <f>L2/L1</f>
        <v>0.28594676136220443</v>
      </c>
    </row>
    <row r="3" spans="1:13" ht="12.75" customHeight="1">
      <c r="A3" s="65" t="s">
        <v>763</v>
      </c>
      <c r="B3" s="748"/>
      <c r="C3" s="748"/>
      <c r="D3" s="748"/>
      <c r="E3" s="748"/>
      <c r="F3" s="748"/>
      <c r="G3" s="748"/>
      <c r="I3" s="6" t="s">
        <v>164</v>
      </c>
      <c r="L3" s="1907">
        <f>SUM(G34:G38)+G42+П.2.2.утв.2015!G14+П.2.2.утв.2015!G21+П.2.2.утв.2015!G29+П.2.2.утв.2015!G33+П.2.2.утв.2015!G39+П.2.2.утв.2015!G43+П.2.2.утв.2015!G48</f>
        <v>0</v>
      </c>
      <c r="M3" s="6">
        <f>L3/L1</f>
        <v>0</v>
      </c>
    </row>
    <row r="4" spans="1:13" ht="12.75" customHeight="1">
      <c r="A4" s="65" t="s">
        <v>1628</v>
      </c>
      <c r="B4" s="53"/>
      <c r="C4" s="53"/>
      <c r="D4" s="53"/>
      <c r="E4" s="53"/>
      <c r="F4" s="53"/>
      <c r="G4" s="53"/>
      <c r="I4" s="6" t="s">
        <v>160</v>
      </c>
      <c r="L4" s="1907">
        <f>G40+G41+G43+П.2.2.утв.2015!G22+П.2.2.утв.2015!G30+П.2.2.утв.2015!G34+П.2.2.утв.2015!G40+П.2.2.утв.2015!G41+П.2.2.утв.2015!G42+П.2.2.утв.2015!G44+П.2.2.утв.2015!G45+П.2.2.утв.2015!G46+П.2.2.утв.2015!G47</f>
        <v>421.96000000000004</v>
      </c>
      <c r="M4" s="6">
        <f>L4/L1</f>
        <v>0.50639230882778274</v>
      </c>
    </row>
    <row r="5" spans="1:13" ht="13.5" customHeight="1">
      <c r="A5" s="65" t="s">
        <v>270</v>
      </c>
      <c r="B5" s="53"/>
      <c r="C5" s="53"/>
      <c r="D5" s="53"/>
      <c r="E5" s="53"/>
      <c r="F5" s="53"/>
      <c r="G5" s="53"/>
      <c r="I5" s="6" t="s">
        <v>161</v>
      </c>
      <c r="L5" s="1907">
        <f>G49</f>
        <v>173.03699999999995</v>
      </c>
      <c r="M5" s="6">
        <f>L5/L1</f>
        <v>0.2076609298100128</v>
      </c>
    </row>
    <row r="6" spans="1:13" ht="12.75" customHeight="1">
      <c r="A6" s="65" t="s">
        <v>272</v>
      </c>
      <c r="B6" s="58"/>
      <c r="C6" s="58"/>
      <c r="D6" s="58"/>
      <c r="E6" s="58"/>
      <c r="F6" s="58"/>
      <c r="G6" s="58"/>
      <c r="L6" s="1907"/>
    </row>
    <row r="7" spans="1:13" ht="15.6">
      <c r="A7" s="65" t="s">
        <v>271</v>
      </c>
      <c r="B7" s="58"/>
      <c r="C7" s="58"/>
      <c r="D7" s="58"/>
      <c r="E7" s="58"/>
      <c r="F7" s="58"/>
      <c r="G7" s="58"/>
      <c r="L7" s="1907">
        <f>SUM(L2:L5)</f>
        <v>833.26699999999994</v>
      </c>
    </row>
    <row r="8" spans="1:13">
      <c r="A8" s="748"/>
      <c r="B8" s="58"/>
      <c r="C8" s="58"/>
      <c r="D8" s="58"/>
      <c r="E8" s="58"/>
      <c r="F8" s="58"/>
      <c r="G8" s="58"/>
      <c r="H8" s="1871" t="s">
        <v>1843</v>
      </c>
      <c r="L8" s="1907"/>
    </row>
    <row r="9" spans="1:13">
      <c r="G9" s="751" t="s">
        <v>1733</v>
      </c>
      <c r="L9" s="2053">
        <f>'[20]П.2.1.пром.+ПСХ'!L7+[20]П.2.1.ЛОЦ!L7</f>
        <v>833.26700000000005</v>
      </c>
    </row>
    <row r="10" spans="1:13" ht="79.2">
      <c r="A10" s="2768"/>
      <c r="B10" s="2770" t="s">
        <v>103</v>
      </c>
      <c r="C10" s="2770" t="s">
        <v>104</v>
      </c>
      <c r="D10" s="2770" t="s">
        <v>105</v>
      </c>
      <c r="E10" s="2345" t="s">
        <v>106</v>
      </c>
      <c r="F10" s="2345" t="s">
        <v>107</v>
      </c>
      <c r="G10" s="2345" t="s">
        <v>108</v>
      </c>
      <c r="I10" s="40"/>
    </row>
    <row r="11" spans="1:13">
      <c r="A11" s="2769"/>
      <c r="B11" s="2771"/>
      <c r="C11" s="2771"/>
      <c r="D11" s="2771"/>
      <c r="E11" s="2345" t="s">
        <v>109</v>
      </c>
      <c r="F11" s="2345" t="s">
        <v>110</v>
      </c>
      <c r="G11" s="2345" t="s">
        <v>111</v>
      </c>
      <c r="L11" s="34"/>
    </row>
    <row r="12" spans="1:13">
      <c r="A12" s="2349">
        <v>1</v>
      </c>
      <c r="B12" s="2349">
        <f>+A12+1</f>
        <v>2</v>
      </c>
      <c r="C12" s="2349">
        <f>+B12+1</f>
        <v>3</v>
      </c>
      <c r="D12" s="2349">
        <f>+C12+1</f>
        <v>4</v>
      </c>
      <c r="E12" s="2349">
        <f>+D12+1</f>
        <v>5</v>
      </c>
      <c r="F12" s="2349">
        <f>+E12+1</f>
        <v>6</v>
      </c>
      <c r="G12" s="2349" t="s">
        <v>172</v>
      </c>
    </row>
    <row r="13" spans="1:13">
      <c r="A13" s="2772" t="s">
        <v>112</v>
      </c>
      <c r="B13" s="2350">
        <v>1150</v>
      </c>
      <c r="C13" s="2349" t="s">
        <v>101</v>
      </c>
      <c r="D13" s="2347" t="s">
        <v>113</v>
      </c>
      <c r="E13" s="2349">
        <v>800</v>
      </c>
      <c r="F13" s="2349"/>
      <c r="G13" s="2349"/>
    </row>
    <row r="14" spans="1:13">
      <c r="A14" s="2772"/>
      <c r="B14" s="2350">
        <v>750</v>
      </c>
      <c r="C14" s="2349">
        <v>1</v>
      </c>
      <c r="D14" s="2347" t="s">
        <v>113</v>
      </c>
      <c r="E14" s="2349">
        <v>600</v>
      </c>
      <c r="F14" s="2349"/>
      <c r="G14" s="2349"/>
      <c r="L14" s="34"/>
      <c r="M14" s="41"/>
    </row>
    <row r="15" spans="1:13">
      <c r="A15" s="2772"/>
      <c r="B15" s="2773" t="s">
        <v>114</v>
      </c>
      <c r="C15" s="2774">
        <v>1</v>
      </c>
      <c r="D15" s="2347" t="s">
        <v>113</v>
      </c>
      <c r="E15" s="2349">
        <v>400</v>
      </c>
      <c r="F15" s="2349"/>
      <c r="G15" s="2349"/>
      <c r="L15" s="24"/>
      <c r="M15" s="41"/>
    </row>
    <row r="16" spans="1:13">
      <c r="A16" s="2772"/>
      <c r="B16" s="2773"/>
      <c r="C16" s="2774"/>
      <c r="D16" s="2347" t="s">
        <v>115</v>
      </c>
      <c r="E16" s="2349">
        <v>300</v>
      </c>
      <c r="F16" s="2349"/>
      <c r="G16" s="2349"/>
    </row>
    <row r="17" spans="1:12">
      <c r="A17" s="2772"/>
      <c r="B17" s="2773">
        <v>330</v>
      </c>
      <c r="C17" s="2774">
        <v>1</v>
      </c>
      <c r="D17" s="2347" t="s">
        <v>113</v>
      </c>
      <c r="E17" s="2349">
        <v>230</v>
      </c>
      <c r="F17" s="2349"/>
      <c r="G17" s="2349"/>
      <c r="L17" s="34"/>
    </row>
    <row r="18" spans="1:12">
      <c r="A18" s="2772"/>
      <c r="B18" s="2773"/>
      <c r="C18" s="2774"/>
      <c r="D18" s="2347" t="s">
        <v>115</v>
      </c>
      <c r="E18" s="2349">
        <v>170</v>
      </c>
      <c r="F18" s="2349"/>
      <c r="G18" s="2349"/>
    </row>
    <row r="19" spans="1:12">
      <c r="A19" s="2772"/>
      <c r="B19" s="2773"/>
      <c r="C19" s="2774">
        <v>2</v>
      </c>
      <c r="D19" s="2347" t="s">
        <v>113</v>
      </c>
      <c r="E19" s="2349">
        <v>290</v>
      </c>
      <c r="F19" s="2349"/>
      <c r="G19" s="2349"/>
    </row>
    <row r="20" spans="1:12">
      <c r="A20" s="2772"/>
      <c r="B20" s="2773"/>
      <c r="C20" s="2774"/>
      <c r="D20" s="2347" t="s">
        <v>115</v>
      </c>
      <c r="E20" s="2349">
        <v>210</v>
      </c>
      <c r="F20" s="2349"/>
      <c r="G20" s="2349"/>
    </row>
    <row r="21" spans="1:12">
      <c r="A21" s="2772"/>
      <c r="B21" s="2775">
        <v>220</v>
      </c>
      <c r="C21" s="2772">
        <v>1</v>
      </c>
      <c r="D21" s="2347" t="s">
        <v>116</v>
      </c>
      <c r="E21" s="424">
        <v>260</v>
      </c>
      <c r="F21" s="423"/>
      <c r="G21" s="423"/>
    </row>
    <row r="22" spans="1:12">
      <c r="A22" s="2772"/>
      <c r="B22" s="2775"/>
      <c r="C22" s="2772"/>
      <c r="D22" s="2347" t="s">
        <v>113</v>
      </c>
      <c r="E22" s="424">
        <v>210</v>
      </c>
      <c r="F22" s="424"/>
      <c r="G22" s="424"/>
    </row>
    <row r="23" spans="1:12">
      <c r="A23" s="2772"/>
      <c r="B23" s="2775"/>
      <c r="C23" s="2772"/>
      <c r="D23" s="2347" t="s">
        <v>115</v>
      </c>
      <c r="E23" s="424">
        <v>140</v>
      </c>
      <c r="F23" s="424"/>
      <c r="G23" s="424"/>
    </row>
    <row r="24" spans="1:12">
      <c r="A24" s="2772"/>
      <c r="B24" s="2775"/>
      <c r="C24" s="2772">
        <v>2</v>
      </c>
      <c r="D24" s="2347" t="s">
        <v>113</v>
      </c>
      <c r="E24" s="424">
        <v>270</v>
      </c>
      <c r="F24" s="424">
        <v>0.1</v>
      </c>
      <c r="G24" s="431">
        <f>E24*F24/100</f>
        <v>0.27</v>
      </c>
    </row>
    <row r="25" spans="1:12">
      <c r="A25" s="2772"/>
      <c r="B25" s="2775"/>
      <c r="C25" s="2772"/>
      <c r="D25" s="2347" t="s">
        <v>115</v>
      </c>
      <c r="E25" s="424">
        <v>180</v>
      </c>
      <c r="F25" s="424"/>
      <c r="G25" s="424"/>
    </row>
    <row r="26" spans="1:12">
      <c r="A26" s="2772"/>
      <c r="B26" s="2775" t="s">
        <v>117</v>
      </c>
      <c r="C26" s="2772">
        <v>1</v>
      </c>
      <c r="D26" s="2347" t="s">
        <v>116</v>
      </c>
      <c r="E26" s="424">
        <v>180</v>
      </c>
      <c r="F26" s="423"/>
      <c r="G26" s="423"/>
    </row>
    <row r="27" spans="1:12">
      <c r="A27" s="2772"/>
      <c r="B27" s="2775"/>
      <c r="C27" s="2772"/>
      <c r="D27" s="2347" t="s">
        <v>113</v>
      </c>
      <c r="E27" s="424">
        <v>160</v>
      </c>
      <c r="F27" s="424"/>
      <c r="G27" s="426">
        <f>E27*F27/100</f>
        <v>0</v>
      </c>
    </row>
    <row r="28" spans="1:12">
      <c r="A28" s="2772"/>
      <c r="B28" s="2775"/>
      <c r="C28" s="2772"/>
      <c r="D28" s="2347" t="s">
        <v>115</v>
      </c>
      <c r="E28" s="424">
        <v>130</v>
      </c>
      <c r="F28" s="425"/>
      <c r="G28" s="424"/>
    </row>
    <row r="29" spans="1:12">
      <c r="A29" s="2772"/>
      <c r="B29" s="2775"/>
      <c r="C29" s="2772">
        <v>2</v>
      </c>
      <c r="D29" s="2347" t="s">
        <v>113</v>
      </c>
      <c r="E29" s="424">
        <v>190</v>
      </c>
      <c r="F29" s="424"/>
      <c r="G29" s="423"/>
    </row>
    <row r="30" spans="1:12">
      <c r="A30" s="2772"/>
      <c r="B30" s="2775"/>
      <c r="C30" s="2772"/>
      <c r="D30" s="2347" t="s">
        <v>115</v>
      </c>
      <c r="E30" s="424">
        <v>160</v>
      </c>
      <c r="F30" s="425"/>
      <c r="G30" s="424"/>
    </row>
    <row r="31" spans="1:12">
      <c r="A31" s="2772" t="s">
        <v>118</v>
      </c>
      <c r="B31" s="2351">
        <v>220</v>
      </c>
      <c r="C31" s="2349" t="s">
        <v>101</v>
      </c>
      <c r="D31" s="2349" t="s">
        <v>101</v>
      </c>
      <c r="E31" s="424">
        <v>3000</v>
      </c>
      <c r="F31" s="425"/>
      <c r="G31" s="424"/>
    </row>
    <row r="32" spans="1:12">
      <c r="A32" s="2772"/>
      <c r="B32" s="2351">
        <v>110</v>
      </c>
      <c r="C32" s="2349" t="s">
        <v>101</v>
      </c>
      <c r="D32" s="2349" t="s">
        <v>101</v>
      </c>
      <c r="E32" s="424">
        <v>2300</v>
      </c>
      <c r="F32" s="425"/>
      <c r="G32" s="424"/>
    </row>
    <row r="33" spans="1:13">
      <c r="A33" s="2772" t="s">
        <v>171</v>
      </c>
      <c r="B33" s="2772"/>
      <c r="C33" s="2772"/>
      <c r="D33" s="2772"/>
      <c r="E33" s="2772"/>
      <c r="F33" s="426"/>
      <c r="G33" s="431">
        <f>SUM(G13:G32)</f>
        <v>0.27</v>
      </c>
      <c r="H33" s="32"/>
      <c r="I33" s="31"/>
      <c r="J33" s="31"/>
      <c r="K33" s="31"/>
      <c r="L33" s="31"/>
    </row>
    <row r="34" spans="1:13">
      <c r="A34" s="2777" t="s">
        <v>112</v>
      </c>
      <c r="B34" s="2778">
        <v>35</v>
      </c>
      <c r="C34" s="2777">
        <v>1</v>
      </c>
      <c r="D34" s="2347" t="s">
        <v>116</v>
      </c>
      <c r="E34" s="424">
        <v>170</v>
      </c>
      <c r="F34" s="423"/>
      <c r="G34" s="423"/>
    </row>
    <row r="35" spans="1:13">
      <c r="A35" s="2777"/>
      <c r="B35" s="2778"/>
      <c r="C35" s="2777"/>
      <c r="D35" s="2347" t="s">
        <v>113</v>
      </c>
      <c r="E35" s="424">
        <v>140</v>
      </c>
      <c r="F35" s="424"/>
      <c r="G35" s="424"/>
    </row>
    <row r="36" spans="1:13">
      <c r="A36" s="2777"/>
      <c r="B36" s="2778"/>
      <c r="C36" s="2777"/>
      <c r="D36" s="2347" t="s">
        <v>115</v>
      </c>
      <c r="E36" s="424">
        <v>120</v>
      </c>
      <c r="F36" s="424"/>
      <c r="G36" s="431">
        <f>E36*F36/100</f>
        <v>0</v>
      </c>
    </row>
    <row r="37" spans="1:13">
      <c r="A37" s="2777"/>
      <c r="B37" s="2778"/>
      <c r="C37" s="2777">
        <v>2</v>
      </c>
      <c r="D37" s="2347" t="s">
        <v>113</v>
      </c>
      <c r="E37" s="424">
        <v>180</v>
      </c>
      <c r="F37" s="424"/>
      <c r="G37" s="431">
        <f>E37*F37/100</f>
        <v>0</v>
      </c>
    </row>
    <row r="38" spans="1:13">
      <c r="A38" s="2777"/>
      <c r="B38" s="2778"/>
      <c r="C38" s="2777"/>
      <c r="D38" s="2347" t="s">
        <v>115</v>
      </c>
      <c r="E38" s="424">
        <v>150</v>
      </c>
      <c r="F38" s="424"/>
      <c r="G38" s="424"/>
    </row>
    <row r="39" spans="1:13">
      <c r="A39" s="2777"/>
      <c r="B39" s="2779" t="s">
        <v>119</v>
      </c>
      <c r="C39" s="2774" t="s">
        <v>101</v>
      </c>
      <c r="D39" s="424" t="s">
        <v>116</v>
      </c>
      <c r="E39" s="424">
        <v>160</v>
      </c>
      <c r="F39" s="424"/>
      <c r="G39" s="424"/>
    </row>
    <row r="40" spans="1:13" ht="26.4">
      <c r="A40" s="2777"/>
      <c r="B40" s="2779"/>
      <c r="C40" s="2774"/>
      <c r="D40" s="433" t="s">
        <v>120</v>
      </c>
      <c r="E40" s="424">
        <v>140</v>
      </c>
      <c r="F40" s="424"/>
      <c r="G40" s="434">
        <f>E40*F40/100</f>
        <v>0</v>
      </c>
    </row>
    <row r="41" spans="1:13" ht="26.4">
      <c r="A41" s="2777"/>
      <c r="B41" s="2779"/>
      <c r="C41" s="2774"/>
      <c r="D41" s="433" t="s">
        <v>121</v>
      </c>
      <c r="E41" s="424">
        <v>110</v>
      </c>
      <c r="F41" s="1908">
        <v>5</v>
      </c>
      <c r="G41" s="434">
        <f>E41*F41/100</f>
        <v>5.5</v>
      </c>
      <c r="J41" s="1909" t="s">
        <v>1045</v>
      </c>
      <c r="K41" s="120"/>
      <c r="L41" s="120"/>
      <c r="M41" s="120"/>
    </row>
    <row r="42" spans="1:13">
      <c r="A42" s="2780" t="s">
        <v>118</v>
      </c>
      <c r="B42" s="2351" t="s">
        <v>122</v>
      </c>
      <c r="C42" s="2349" t="s">
        <v>101</v>
      </c>
      <c r="D42" s="2349" t="s">
        <v>101</v>
      </c>
      <c r="E42" s="424">
        <v>470</v>
      </c>
      <c r="F42" s="424"/>
      <c r="G42" s="424"/>
      <c r="J42" s="1909"/>
      <c r="K42" s="120"/>
      <c r="L42" s="120"/>
      <c r="M42" s="120"/>
    </row>
    <row r="43" spans="1:13">
      <c r="A43" s="2780"/>
      <c r="B43" s="435" t="s">
        <v>123</v>
      </c>
      <c r="C43" s="436" t="s">
        <v>101</v>
      </c>
      <c r="D43" s="436" t="s">
        <v>101</v>
      </c>
      <c r="E43" s="427">
        <v>350</v>
      </c>
      <c r="F43" s="2050">
        <f>19.01+1.7+1.45</f>
        <v>22.16</v>
      </c>
      <c r="G43" s="434">
        <f>E43*F43/100</f>
        <v>77.56</v>
      </c>
      <c r="J43" s="1909"/>
      <c r="K43" s="120">
        <f>100.2+100+130+100+200+140+140+100+200+180+100+200+100+600+250+250+100+250+100+270+50+100+70+100+70+120+100+100</f>
        <v>4320.2</v>
      </c>
      <c r="L43" s="120"/>
      <c r="M43" s="120"/>
    </row>
    <row r="44" spans="1:13">
      <c r="A44" s="2781" t="s">
        <v>124</v>
      </c>
      <c r="B44" s="2781"/>
      <c r="C44" s="2781"/>
      <c r="D44" s="2781"/>
      <c r="E44" s="2781"/>
      <c r="F44" s="428"/>
      <c r="G44" s="434">
        <f>SUM(G34:G43)</f>
        <v>83.06</v>
      </c>
      <c r="H44" s="33"/>
      <c r="J44" s="1909"/>
      <c r="K44" s="120"/>
      <c r="L44" s="120"/>
      <c r="M44" s="120"/>
    </row>
    <row r="45" spans="1:13">
      <c r="A45" s="2777" t="s">
        <v>112</v>
      </c>
      <c r="B45" s="2782" t="s">
        <v>125</v>
      </c>
      <c r="C45" s="2777" t="s">
        <v>101</v>
      </c>
      <c r="D45" s="424" t="s">
        <v>116</v>
      </c>
      <c r="E45" s="424">
        <v>260</v>
      </c>
      <c r="F45" s="424"/>
      <c r="G45" s="424"/>
      <c r="J45" s="1909"/>
      <c r="K45" s="120"/>
      <c r="L45" s="120"/>
      <c r="M45" s="120"/>
    </row>
    <row r="46" spans="1:13" ht="26.4">
      <c r="A46" s="2777"/>
      <c r="B46" s="2782"/>
      <c r="C46" s="2777"/>
      <c r="D46" s="433" t="s">
        <v>120</v>
      </c>
      <c r="E46" s="424">
        <v>220</v>
      </c>
      <c r="F46" s="424"/>
      <c r="G46" s="434">
        <f>E46*F46/100</f>
        <v>0</v>
      </c>
      <c r="J46" s="1909"/>
      <c r="K46" s="120"/>
      <c r="L46" s="120"/>
      <c r="M46" s="120"/>
    </row>
    <row r="47" spans="1:13" ht="26.4">
      <c r="A47" s="2777"/>
      <c r="B47" s="2782"/>
      <c r="C47" s="2777"/>
      <c r="D47" s="433" t="s">
        <v>121</v>
      </c>
      <c r="E47" s="424">
        <v>150</v>
      </c>
      <c r="F47" s="1910">
        <f>0.5+1.8</f>
        <v>2.2999999999999998</v>
      </c>
      <c r="G47" s="434">
        <f>E47*F47/100</f>
        <v>3.45</v>
      </c>
      <c r="J47" s="1909" t="s">
        <v>1045</v>
      </c>
      <c r="K47" s="120"/>
      <c r="L47" s="120"/>
      <c r="M47" s="120"/>
    </row>
    <row r="48" spans="1:13">
      <c r="A48" s="2347" t="s">
        <v>118</v>
      </c>
      <c r="B48" s="2348" t="s">
        <v>126</v>
      </c>
      <c r="C48" s="2349" t="s">
        <v>101</v>
      </c>
      <c r="D48" s="2349" t="s">
        <v>101</v>
      </c>
      <c r="E48" s="424">
        <v>270</v>
      </c>
      <c r="F48" s="2051">
        <f>62.46+0.15+0.08+0.12</f>
        <v>62.809999999999995</v>
      </c>
      <c r="G48" s="434">
        <f>E48*F48/100</f>
        <v>169.58699999999996</v>
      </c>
      <c r="K48" s="120"/>
      <c r="L48" s="120"/>
      <c r="M48" s="120"/>
    </row>
    <row r="49" spans="1:12">
      <c r="A49" s="2776" t="s">
        <v>127</v>
      </c>
      <c r="B49" s="2776"/>
      <c r="C49" s="2776"/>
      <c r="D49" s="2776"/>
      <c r="E49" s="2776"/>
      <c r="F49" s="2776"/>
      <c r="G49" s="434">
        <f>G45+G46+G47+G48</f>
        <v>173.03699999999995</v>
      </c>
      <c r="J49" s="1911">
        <f>G33+G44+G49</f>
        <v>256.36699999999996</v>
      </c>
      <c r="K49" s="66"/>
      <c r="L49" s="1911"/>
    </row>
    <row r="50" spans="1:12">
      <c r="A50" s="26"/>
      <c r="B50" s="27"/>
      <c r="C50" s="26"/>
      <c r="D50" s="3"/>
      <c r="E50" s="3"/>
      <c r="F50" s="3"/>
      <c r="G50" s="3"/>
      <c r="J50" s="40"/>
      <c r="K50" s="40"/>
      <c r="L50" s="40"/>
    </row>
    <row r="51" spans="1:12" ht="9.75" customHeight="1"/>
    <row r="52" spans="1:12" s="2377" customFormat="1" ht="23.25" customHeight="1">
      <c r="A52" s="2374" t="s">
        <v>731</v>
      </c>
      <c r="B52" s="2375"/>
      <c r="C52" s="2376"/>
      <c r="H52" s="2378"/>
    </row>
    <row r="53" spans="1:12" s="2377" customFormat="1" ht="15" customHeight="1">
      <c r="A53" s="2374" t="s">
        <v>761</v>
      </c>
      <c r="B53" s="2379"/>
      <c r="C53" s="2376"/>
      <c r="G53" s="2380" t="s">
        <v>733</v>
      </c>
    </row>
    <row r="54" spans="1:12" s="28" customFormat="1">
      <c r="F54" s="29"/>
    </row>
    <row r="55" spans="1:12" s="28" customFormat="1">
      <c r="A55" s="51"/>
      <c r="F55" s="29"/>
    </row>
    <row r="56" spans="1:12" s="28" customFormat="1">
      <c r="A56" s="51"/>
      <c r="F56" s="29"/>
    </row>
  </sheetData>
  <mergeCells count="30">
    <mergeCell ref="A10:A11"/>
    <mergeCell ref="B10:B11"/>
    <mergeCell ref="C10:C11"/>
    <mergeCell ref="D10:D11"/>
    <mergeCell ref="A13:A30"/>
    <mergeCell ref="B15:B16"/>
    <mergeCell ref="C15:C16"/>
    <mergeCell ref="B17:B20"/>
    <mergeCell ref="C17:C18"/>
    <mergeCell ref="C19:C20"/>
    <mergeCell ref="B21:B25"/>
    <mergeCell ref="C21:C23"/>
    <mergeCell ref="C24:C25"/>
    <mergeCell ref="B26:B30"/>
    <mergeCell ref="C26:C28"/>
    <mergeCell ref="C29:C30"/>
    <mergeCell ref="A49:F49"/>
    <mergeCell ref="A31:A32"/>
    <mergeCell ref="A33:E33"/>
    <mergeCell ref="A34:A41"/>
    <mergeCell ref="B34:B38"/>
    <mergeCell ref="C34:C36"/>
    <mergeCell ref="C37:C38"/>
    <mergeCell ref="B39:B41"/>
    <mergeCell ref="C39:C41"/>
    <mergeCell ref="A42:A43"/>
    <mergeCell ref="A44:E44"/>
    <mergeCell ref="A45:A47"/>
    <mergeCell ref="B45:B47"/>
    <mergeCell ref="C45:C47"/>
  </mergeCells>
  <printOptions horizontalCentered="1"/>
  <pageMargins left="0.78740157480314965" right="0.78740157480314965" top="0.78740157480314965" bottom="0.11811023622047245" header="0.51181102362204722" footer="3.937007874015748E-2"/>
  <pageSetup paperSize="9" scale="90" orientation="portrait" r:id="rId1"/>
  <headerFooter alignWithMargins="0"/>
  <colBreaks count="1" manualBreakCount="1">
    <brk id="7" max="1048575" man="1"/>
  </col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6">
    <tabColor rgb="FFCCFF66"/>
  </sheetPr>
  <dimension ref="A1:K71"/>
  <sheetViews>
    <sheetView zoomScaleNormal="100" workbookViewId="0">
      <pane xSplit="3" ySplit="7" topLeftCell="D13" activePane="bottomRight" state="frozenSplit"/>
      <selection activeCell="K8" sqref="K8"/>
      <selection pane="topRight" activeCell="K8" sqref="K8"/>
      <selection pane="bottomLeft" activeCell="K8" sqref="K8"/>
      <selection pane="bottomRight" activeCell="K8" sqref="K8"/>
    </sheetView>
  </sheetViews>
  <sheetFormatPr defaultRowHeight="13.2"/>
  <cols>
    <col min="1" max="1" width="9.109375" style="6"/>
    <col min="2" max="2" width="18" style="6" customWidth="1"/>
    <col min="3" max="3" width="12.88671875" style="6" customWidth="1"/>
    <col min="4" max="4" width="12.33203125" style="6" customWidth="1"/>
    <col min="5" max="5" width="11" style="6" customWidth="1"/>
    <col min="6" max="6" width="10.5546875" style="6" customWidth="1"/>
    <col min="7" max="257" width="9.109375" style="6"/>
    <col min="258" max="258" width="18" style="6" customWidth="1"/>
    <col min="259" max="259" width="12.88671875" style="6" customWidth="1"/>
    <col min="260" max="260" width="12.33203125" style="6" customWidth="1"/>
    <col min="261" max="261" width="11" style="6" customWidth="1"/>
    <col min="262" max="262" width="10.5546875" style="6" customWidth="1"/>
    <col min="263" max="513" width="9.109375" style="6"/>
    <col min="514" max="514" width="18" style="6" customWidth="1"/>
    <col min="515" max="515" width="12.88671875" style="6" customWidth="1"/>
    <col min="516" max="516" width="12.33203125" style="6" customWidth="1"/>
    <col min="517" max="517" width="11" style="6" customWidth="1"/>
    <col min="518" max="518" width="10.5546875" style="6" customWidth="1"/>
    <col min="519" max="769" width="9.109375" style="6"/>
    <col min="770" max="770" width="18" style="6" customWidth="1"/>
    <col min="771" max="771" width="12.88671875" style="6" customWidth="1"/>
    <col min="772" max="772" width="12.33203125" style="6" customWidth="1"/>
    <col min="773" max="773" width="11" style="6" customWidth="1"/>
    <col min="774" max="774" width="10.5546875" style="6" customWidth="1"/>
    <col min="775" max="1025" width="9.109375" style="6"/>
    <col min="1026" max="1026" width="18" style="6" customWidth="1"/>
    <col min="1027" max="1027" width="12.88671875" style="6" customWidth="1"/>
    <col min="1028" max="1028" width="12.33203125" style="6" customWidth="1"/>
    <col min="1029" max="1029" width="11" style="6" customWidth="1"/>
    <col min="1030" max="1030" width="10.5546875" style="6" customWidth="1"/>
    <col min="1031" max="1281" width="9.109375" style="6"/>
    <col min="1282" max="1282" width="18" style="6" customWidth="1"/>
    <col min="1283" max="1283" width="12.88671875" style="6" customWidth="1"/>
    <col min="1284" max="1284" width="12.33203125" style="6" customWidth="1"/>
    <col min="1285" max="1285" width="11" style="6" customWidth="1"/>
    <col min="1286" max="1286" width="10.5546875" style="6" customWidth="1"/>
    <col min="1287" max="1537" width="9.109375" style="6"/>
    <col min="1538" max="1538" width="18" style="6" customWidth="1"/>
    <col min="1539" max="1539" width="12.88671875" style="6" customWidth="1"/>
    <col min="1540" max="1540" width="12.33203125" style="6" customWidth="1"/>
    <col min="1541" max="1541" width="11" style="6" customWidth="1"/>
    <col min="1542" max="1542" width="10.5546875" style="6" customWidth="1"/>
    <col min="1543" max="1793" width="9.109375" style="6"/>
    <col min="1794" max="1794" width="18" style="6" customWidth="1"/>
    <col min="1795" max="1795" width="12.88671875" style="6" customWidth="1"/>
    <col min="1796" max="1796" width="12.33203125" style="6" customWidth="1"/>
    <col min="1797" max="1797" width="11" style="6" customWidth="1"/>
    <col min="1798" max="1798" width="10.5546875" style="6" customWidth="1"/>
    <col min="1799" max="2049" width="9.109375" style="6"/>
    <col min="2050" max="2050" width="18" style="6" customWidth="1"/>
    <col min="2051" max="2051" width="12.88671875" style="6" customWidth="1"/>
    <col min="2052" max="2052" width="12.33203125" style="6" customWidth="1"/>
    <col min="2053" max="2053" width="11" style="6" customWidth="1"/>
    <col min="2054" max="2054" width="10.5546875" style="6" customWidth="1"/>
    <col min="2055" max="2305" width="9.109375" style="6"/>
    <col min="2306" max="2306" width="18" style="6" customWidth="1"/>
    <col min="2307" max="2307" width="12.88671875" style="6" customWidth="1"/>
    <col min="2308" max="2308" width="12.33203125" style="6" customWidth="1"/>
    <col min="2309" max="2309" width="11" style="6" customWidth="1"/>
    <col min="2310" max="2310" width="10.5546875" style="6" customWidth="1"/>
    <col min="2311" max="2561" width="9.109375" style="6"/>
    <col min="2562" max="2562" width="18" style="6" customWidth="1"/>
    <col min="2563" max="2563" width="12.88671875" style="6" customWidth="1"/>
    <col min="2564" max="2564" width="12.33203125" style="6" customWidth="1"/>
    <col min="2565" max="2565" width="11" style="6" customWidth="1"/>
    <col min="2566" max="2566" width="10.5546875" style="6" customWidth="1"/>
    <col min="2567" max="2817" width="9.109375" style="6"/>
    <col min="2818" max="2818" width="18" style="6" customWidth="1"/>
    <col min="2819" max="2819" width="12.88671875" style="6" customWidth="1"/>
    <col min="2820" max="2820" width="12.33203125" style="6" customWidth="1"/>
    <col min="2821" max="2821" width="11" style="6" customWidth="1"/>
    <col min="2822" max="2822" width="10.5546875" style="6" customWidth="1"/>
    <col min="2823" max="3073" width="9.109375" style="6"/>
    <col min="3074" max="3074" width="18" style="6" customWidth="1"/>
    <col min="3075" max="3075" width="12.88671875" style="6" customWidth="1"/>
    <col min="3076" max="3076" width="12.33203125" style="6" customWidth="1"/>
    <col min="3077" max="3077" width="11" style="6" customWidth="1"/>
    <col min="3078" max="3078" width="10.5546875" style="6" customWidth="1"/>
    <col min="3079" max="3329" width="9.109375" style="6"/>
    <col min="3330" max="3330" width="18" style="6" customWidth="1"/>
    <col min="3331" max="3331" width="12.88671875" style="6" customWidth="1"/>
    <col min="3332" max="3332" width="12.33203125" style="6" customWidth="1"/>
    <col min="3333" max="3333" width="11" style="6" customWidth="1"/>
    <col min="3334" max="3334" width="10.5546875" style="6" customWidth="1"/>
    <col min="3335" max="3585" width="9.109375" style="6"/>
    <col min="3586" max="3586" width="18" style="6" customWidth="1"/>
    <col min="3587" max="3587" width="12.88671875" style="6" customWidth="1"/>
    <col min="3588" max="3588" width="12.33203125" style="6" customWidth="1"/>
    <col min="3589" max="3589" width="11" style="6" customWidth="1"/>
    <col min="3590" max="3590" width="10.5546875" style="6" customWidth="1"/>
    <col min="3591" max="3841" width="9.109375" style="6"/>
    <col min="3842" max="3842" width="18" style="6" customWidth="1"/>
    <col min="3843" max="3843" width="12.88671875" style="6" customWidth="1"/>
    <col min="3844" max="3844" width="12.33203125" style="6" customWidth="1"/>
    <col min="3845" max="3845" width="11" style="6" customWidth="1"/>
    <col min="3846" max="3846" width="10.5546875" style="6" customWidth="1"/>
    <col min="3847" max="4097" width="9.109375" style="6"/>
    <col min="4098" max="4098" width="18" style="6" customWidth="1"/>
    <col min="4099" max="4099" width="12.88671875" style="6" customWidth="1"/>
    <col min="4100" max="4100" width="12.33203125" style="6" customWidth="1"/>
    <col min="4101" max="4101" width="11" style="6" customWidth="1"/>
    <col min="4102" max="4102" width="10.5546875" style="6" customWidth="1"/>
    <col min="4103" max="4353" width="9.109375" style="6"/>
    <col min="4354" max="4354" width="18" style="6" customWidth="1"/>
    <col min="4355" max="4355" width="12.88671875" style="6" customWidth="1"/>
    <col min="4356" max="4356" width="12.33203125" style="6" customWidth="1"/>
    <col min="4357" max="4357" width="11" style="6" customWidth="1"/>
    <col min="4358" max="4358" width="10.5546875" style="6" customWidth="1"/>
    <col min="4359" max="4609" width="9.109375" style="6"/>
    <col min="4610" max="4610" width="18" style="6" customWidth="1"/>
    <col min="4611" max="4611" width="12.88671875" style="6" customWidth="1"/>
    <col min="4612" max="4612" width="12.33203125" style="6" customWidth="1"/>
    <col min="4613" max="4613" width="11" style="6" customWidth="1"/>
    <col min="4614" max="4614" width="10.5546875" style="6" customWidth="1"/>
    <col min="4615" max="4865" width="9.109375" style="6"/>
    <col min="4866" max="4866" width="18" style="6" customWidth="1"/>
    <col min="4867" max="4867" width="12.88671875" style="6" customWidth="1"/>
    <col min="4868" max="4868" width="12.33203125" style="6" customWidth="1"/>
    <col min="4869" max="4869" width="11" style="6" customWidth="1"/>
    <col min="4870" max="4870" width="10.5546875" style="6" customWidth="1"/>
    <col min="4871" max="5121" width="9.109375" style="6"/>
    <col min="5122" max="5122" width="18" style="6" customWidth="1"/>
    <col min="5123" max="5123" width="12.88671875" style="6" customWidth="1"/>
    <col min="5124" max="5124" width="12.33203125" style="6" customWidth="1"/>
    <col min="5125" max="5125" width="11" style="6" customWidth="1"/>
    <col min="5126" max="5126" width="10.5546875" style="6" customWidth="1"/>
    <col min="5127" max="5377" width="9.109375" style="6"/>
    <col min="5378" max="5378" width="18" style="6" customWidth="1"/>
    <col min="5379" max="5379" width="12.88671875" style="6" customWidth="1"/>
    <col min="5380" max="5380" width="12.33203125" style="6" customWidth="1"/>
    <col min="5381" max="5381" width="11" style="6" customWidth="1"/>
    <col min="5382" max="5382" width="10.5546875" style="6" customWidth="1"/>
    <col min="5383" max="5633" width="9.109375" style="6"/>
    <col min="5634" max="5634" width="18" style="6" customWidth="1"/>
    <col min="5635" max="5635" width="12.88671875" style="6" customWidth="1"/>
    <col min="5636" max="5636" width="12.33203125" style="6" customWidth="1"/>
    <col min="5637" max="5637" width="11" style="6" customWidth="1"/>
    <col min="5638" max="5638" width="10.5546875" style="6" customWidth="1"/>
    <col min="5639" max="5889" width="9.109375" style="6"/>
    <col min="5890" max="5890" width="18" style="6" customWidth="1"/>
    <col min="5891" max="5891" width="12.88671875" style="6" customWidth="1"/>
    <col min="5892" max="5892" width="12.33203125" style="6" customWidth="1"/>
    <col min="5893" max="5893" width="11" style="6" customWidth="1"/>
    <col min="5894" max="5894" width="10.5546875" style="6" customWidth="1"/>
    <col min="5895" max="6145" width="9.109375" style="6"/>
    <col min="6146" max="6146" width="18" style="6" customWidth="1"/>
    <col min="6147" max="6147" width="12.88671875" style="6" customWidth="1"/>
    <col min="6148" max="6148" width="12.33203125" style="6" customWidth="1"/>
    <col min="6149" max="6149" width="11" style="6" customWidth="1"/>
    <col min="6150" max="6150" width="10.5546875" style="6" customWidth="1"/>
    <col min="6151" max="6401" width="9.109375" style="6"/>
    <col min="6402" max="6402" width="18" style="6" customWidth="1"/>
    <col min="6403" max="6403" width="12.88671875" style="6" customWidth="1"/>
    <col min="6404" max="6404" width="12.33203125" style="6" customWidth="1"/>
    <col min="6405" max="6405" width="11" style="6" customWidth="1"/>
    <col min="6406" max="6406" width="10.5546875" style="6" customWidth="1"/>
    <col min="6407" max="6657" width="9.109375" style="6"/>
    <col min="6658" max="6658" width="18" style="6" customWidth="1"/>
    <col min="6659" max="6659" width="12.88671875" style="6" customWidth="1"/>
    <col min="6660" max="6660" width="12.33203125" style="6" customWidth="1"/>
    <col min="6661" max="6661" width="11" style="6" customWidth="1"/>
    <col min="6662" max="6662" width="10.5546875" style="6" customWidth="1"/>
    <col min="6663" max="6913" width="9.109375" style="6"/>
    <col min="6914" max="6914" width="18" style="6" customWidth="1"/>
    <col min="6915" max="6915" width="12.88671875" style="6" customWidth="1"/>
    <col min="6916" max="6916" width="12.33203125" style="6" customWidth="1"/>
    <col min="6917" max="6917" width="11" style="6" customWidth="1"/>
    <col min="6918" max="6918" width="10.5546875" style="6" customWidth="1"/>
    <col min="6919" max="7169" width="9.109375" style="6"/>
    <col min="7170" max="7170" width="18" style="6" customWidth="1"/>
    <col min="7171" max="7171" width="12.88671875" style="6" customWidth="1"/>
    <col min="7172" max="7172" width="12.33203125" style="6" customWidth="1"/>
    <col min="7173" max="7173" width="11" style="6" customWidth="1"/>
    <col min="7174" max="7174" width="10.5546875" style="6" customWidth="1"/>
    <col min="7175" max="7425" width="9.109375" style="6"/>
    <col min="7426" max="7426" width="18" style="6" customWidth="1"/>
    <col min="7427" max="7427" width="12.88671875" style="6" customWidth="1"/>
    <col min="7428" max="7428" width="12.33203125" style="6" customWidth="1"/>
    <col min="7429" max="7429" width="11" style="6" customWidth="1"/>
    <col min="7430" max="7430" width="10.5546875" style="6" customWidth="1"/>
    <col min="7431" max="7681" width="9.109375" style="6"/>
    <col min="7682" max="7682" width="18" style="6" customWidth="1"/>
    <col min="7683" max="7683" width="12.88671875" style="6" customWidth="1"/>
    <col min="7684" max="7684" width="12.33203125" style="6" customWidth="1"/>
    <col min="7685" max="7685" width="11" style="6" customWidth="1"/>
    <col min="7686" max="7686" width="10.5546875" style="6" customWidth="1"/>
    <col min="7687" max="7937" width="9.109375" style="6"/>
    <col min="7938" max="7938" width="18" style="6" customWidth="1"/>
    <col min="7939" max="7939" width="12.88671875" style="6" customWidth="1"/>
    <col min="7940" max="7940" width="12.33203125" style="6" customWidth="1"/>
    <col min="7941" max="7941" width="11" style="6" customWidth="1"/>
    <col min="7942" max="7942" width="10.5546875" style="6" customWidth="1"/>
    <col min="7943" max="8193" width="9.109375" style="6"/>
    <col min="8194" max="8194" width="18" style="6" customWidth="1"/>
    <col min="8195" max="8195" width="12.88671875" style="6" customWidth="1"/>
    <col min="8196" max="8196" width="12.33203125" style="6" customWidth="1"/>
    <col min="8197" max="8197" width="11" style="6" customWidth="1"/>
    <col min="8198" max="8198" width="10.5546875" style="6" customWidth="1"/>
    <col min="8199" max="8449" width="9.109375" style="6"/>
    <col min="8450" max="8450" width="18" style="6" customWidth="1"/>
    <col min="8451" max="8451" width="12.88671875" style="6" customWidth="1"/>
    <col min="8452" max="8452" width="12.33203125" style="6" customWidth="1"/>
    <col min="8453" max="8453" width="11" style="6" customWidth="1"/>
    <col min="8454" max="8454" width="10.5546875" style="6" customWidth="1"/>
    <col min="8455" max="8705" width="9.109375" style="6"/>
    <col min="8706" max="8706" width="18" style="6" customWidth="1"/>
    <col min="8707" max="8707" width="12.88671875" style="6" customWidth="1"/>
    <col min="8708" max="8708" width="12.33203125" style="6" customWidth="1"/>
    <col min="8709" max="8709" width="11" style="6" customWidth="1"/>
    <col min="8710" max="8710" width="10.5546875" style="6" customWidth="1"/>
    <col min="8711" max="8961" width="9.109375" style="6"/>
    <col min="8962" max="8962" width="18" style="6" customWidth="1"/>
    <col min="8963" max="8963" width="12.88671875" style="6" customWidth="1"/>
    <col min="8964" max="8964" width="12.33203125" style="6" customWidth="1"/>
    <col min="8965" max="8965" width="11" style="6" customWidth="1"/>
    <col min="8966" max="8966" width="10.5546875" style="6" customWidth="1"/>
    <col min="8967" max="9217" width="9.109375" style="6"/>
    <col min="9218" max="9218" width="18" style="6" customWidth="1"/>
    <col min="9219" max="9219" width="12.88671875" style="6" customWidth="1"/>
    <col min="9220" max="9220" width="12.33203125" style="6" customWidth="1"/>
    <col min="9221" max="9221" width="11" style="6" customWidth="1"/>
    <col min="9222" max="9222" width="10.5546875" style="6" customWidth="1"/>
    <col min="9223" max="9473" width="9.109375" style="6"/>
    <col min="9474" max="9474" width="18" style="6" customWidth="1"/>
    <col min="9475" max="9475" width="12.88671875" style="6" customWidth="1"/>
    <col min="9476" max="9476" width="12.33203125" style="6" customWidth="1"/>
    <col min="9477" max="9477" width="11" style="6" customWidth="1"/>
    <col min="9478" max="9478" width="10.5546875" style="6" customWidth="1"/>
    <col min="9479" max="9729" width="9.109375" style="6"/>
    <col min="9730" max="9730" width="18" style="6" customWidth="1"/>
    <col min="9731" max="9731" width="12.88671875" style="6" customWidth="1"/>
    <col min="9732" max="9732" width="12.33203125" style="6" customWidth="1"/>
    <col min="9733" max="9733" width="11" style="6" customWidth="1"/>
    <col min="9734" max="9734" width="10.5546875" style="6" customWidth="1"/>
    <col min="9735" max="9985" width="9.109375" style="6"/>
    <col min="9986" max="9986" width="18" style="6" customWidth="1"/>
    <col min="9987" max="9987" width="12.88671875" style="6" customWidth="1"/>
    <col min="9988" max="9988" width="12.33203125" style="6" customWidth="1"/>
    <col min="9989" max="9989" width="11" style="6" customWidth="1"/>
    <col min="9990" max="9990" width="10.5546875" style="6" customWidth="1"/>
    <col min="9991" max="10241" width="9.109375" style="6"/>
    <col min="10242" max="10242" width="18" style="6" customWidth="1"/>
    <col min="10243" max="10243" width="12.88671875" style="6" customWidth="1"/>
    <col min="10244" max="10244" width="12.33203125" style="6" customWidth="1"/>
    <col min="10245" max="10245" width="11" style="6" customWidth="1"/>
    <col min="10246" max="10246" width="10.5546875" style="6" customWidth="1"/>
    <col min="10247" max="10497" width="9.109375" style="6"/>
    <col min="10498" max="10498" width="18" style="6" customWidth="1"/>
    <col min="10499" max="10499" width="12.88671875" style="6" customWidth="1"/>
    <col min="10500" max="10500" width="12.33203125" style="6" customWidth="1"/>
    <col min="10501" max="10501" width="11" style="6" customWidth="1"/>
    <col min="10502" max="10502" width="10.5546875" style="6" customWidth="1"/>
    <col min="10503" max="10753" width="9.109375" style="6"/>
    <col min="10754" max="10754" width="18" style="6" customWidth="1"/>
    <col min="10755" max="10755" width="12.88671875" style="6" customWidth="1"/>
    <col min="10756" max="10756" width="12.33203125" style="6" customWidth="1"/>
    <col min="10757" max="10757" width="11" style="6" customWidth="1"/>
    <col min="10758" max="10758" width="10.5546875" style="6" customWidth="1"/>
    <col min="10759" max="11009" width="9.109375" style="6"/>
    <col min="11010" max="11010" width="18" style="6" customWidth="1"/>
    <col min="11011" max="11011" width="12.88671875" style="6" customWidth="1"/>
    <col min="11012" max="11012" width="12.33203125" style="6" customWidth="1"/>
    <col min="11013" max="11013" width="11" style="6" customWidth="1"/>
    <col min="11014" max="11014" width="10.5546875" style="6" customWidth="1"/>
    <col min="11015" max="11265" width="9.109375" style="6"/>
    <col min="11266" max="11266" width="18" style="6" customWidth="1"/>
    <col min="11267" max="11267" width="12.88671875" style="6" customWidth="1"/>
    <col min="11268" max="11268" width="12.33203125" style="6" customWidth="1"/>
    <col min="11269" max="11269" width="11" style="6" customWidth="1"/>
    <col min="11270" max="11270" width="10.5546875" style="6" customWidth="1"/>
    <col min="11271" max="11521" width="9.109375" style="6"/>
    <col min="11522" max="11522" width="18" style="6" customWidth="1"/>
    <col min="11523" max="11523" width="12.88671875" style="6" customWidth="1"/>
    <col min="11524" max="11524" width="12.33203125" style="6" customWidth="1"/>
    <col min="11525" max="11525" width="11" style="6" customWidth="1"/>
    <col min="11526" max="11526" width="10.5546875" style="6" customWidth="1"/>
    <col min="11527" max="11777" width="9.109375" style="6"/>
    <col min="11778" max="11778" width="18" style="6" customWidth="1"/>
    <col min="11779" max="11779" width="12.88671875" style="6" customWidth="1"/>
    <col min="11780" max="11780" width="12.33203125" style="6" customWidth="1"/>
    <col min="11781" max="11781" width="11" style="6" customWidth="1"/>
    <col min="11782" max="11782" width="10.5546875" style="6" customWidth="1"/>
    <col min="11783" max="12033" width="9.109375" style="6"/>
    <col min="12034" max="12034" width="18" style="6" customWidth="1"/>
    <col min="12035" max="12035" width="12.88671875" style="6" customWidth="1"/>
    <col min="12036" max="12036" width="12.33203125" style="6" customWidth="1"/>
    <col min="12037" max="12037" width="11" style="6" customWidth="1"/>
    <col min="12038" max="12038" width="10.5546875" style="6" customWidth="1"/>
    <col min="12039" max="12289" width="9.109375" style="6"/>
    <col min="12290" max="12290" width="18" style="6" customWidth="1"/>
    <col min="12291" max="12291" width="12.88671875" style="6" customWidth="1"/>
    <col min="12292" max="12292" width="12.33203125" style="6" customWidth="1"/>
    <col min="12293" max="12293" width="11" style="6" customWidth="1"/>
    <col min="12294" max="12294" width="10.5546875" style="6" customWidth="1"/>
    <col min="12295" max="12545" width="9.109375" style="6"/>
    <col min="12546" max="12546" width="18" style="6" customWidth="1"/>
    <col min="12547" max="12547" width="12.88671875" style="6" customWidth="1"/>
    <col min="12548" max="12548" width="12.33203125" style="6" customWidth="1"/>
    <col min="12549" max="12549" width="11" style="6" customWidth="1"/>
    <col min="12550" max="12550" width="10.5546875" style="6" customWidth="1"/>
    <col min="12551" max="12801" width="9.109375" style="6"/>
    <col min="12802" max="12802" width="18" style="6" customWidth="1"/>
    <col min="12803" max="12803" width="12.88671875" style="6" customWidth="1"/>
    <col min="12804" max="12804" width="12.33203125" style="6" customWidth="1"/>
    <col min="12805" max="12805" width="11" style="6" customWidth="1"/>
    <col min="12806" max="12806" width="10.5546875" style="6" customWidth="1"/>
    <col min="12807" max="13057" width="9.109375" style="6"/>
    <col min="13058" max="13058" width="18" style="6" customWidth="1"/>
    <col min="13059" max="13059" width="12.88671875" style="6" customWidth="1"/>
    <col min="13060" max="13060" width="12.33203125" style="6" customWidth="1"/>
    <col min="13061" max="13061" width="11" style="6" customWidth="1"/>
    <col min="13062" max="13062" width="10.5546875" style="6" customWidth="1"/>
    <col min="13063" max="13313" width="9.109375" style="6"/>
    <col min="13314" max="13314" width="18" style="6" customWidth="1"/>
    <col min="13315" max="13315" width="12.88671875" style="6" customWidth="1"/>
    <col min="13316" max="13316" width="12.33203125" style="6" customWidth="1"/>
    <col min="13317" max="13317" width="11" style="6" customWidth="1"/>
    <col min="13318" max="13318" width="10.5546875" style="6" customWidth="1"/>
    <col min="13319" max="13569" width="9.109375" style="6"/>
    <col min="13570" max="13570" width="18" style="6" customWidth="1"/>
    <col min="13571" max="13571" width="12.88671875" style="6" customWidth="1"/>
    <col min="13572" max="13572" width="12.33203125" style="6" customWidth="1"/>
    <col min="13573" max="13573" width="11" style="6" customWidth="1"/>
    <col min="13574" max="13574" width="10.5546875" style="6" customWidth="1"/>
    <col min="13575" max="13825" width="9.109375" style="6"/>
    <col min="13826" max="13826" width="18" style="6" customWidth="1"/>
    <col min="13827" max="13827" width="12.88671875" style="6" customWidth="1"/>
    <col min="13828" max="13828" width="12.33203125" style="6" customWidth="1"/>
    <col min="13829" max="13829" width="11" style="6" customWidth="1"/>
    <col min="13830" max="13830" width="10.5546875" style="6" customWidth="1"/>
    <col min="13831" max="14081" width="9.109375" style="6"/>
    <col min="14082" max="14082" width="18" style="6" customWidth="1"/>
    <col min="14083" max="14083" width="12.88671875" style="6" customWidth="1"/>
    <col min="14084" max="14084" width="12.33203125" style="6" customWidth="1"/>
    <col min="14085" max="14085" width="11" style="6" customWidth="1"/>
    <col min="14086" max="14086" width="10.5546875" style="6" customWidth="1"/>
    <col min="14087" max="14337" width="9.109375" style="6"/>
    <col min="14338" max="14338" width="18" style="6" customWidth="1"/>
    <col min="14339" max="14339" width="12.88671875" style="6" customWidth="1"/>
    <col min="14340" max="14340" width="12.33203125" style="6" customWidth="1"/>
    <col min="14341" max="14341" width="11" style="6" customWidth="1"/>
    <col min="14342" max="14342" width="10.5546875" style="6" customWidth="1"/>
    <col min="14343" max="14593" width="9.109375" style="6"/>
    <col min="14594" max="14594" width="18" style="6" customWidth="1"/>
    <col min="14595" max="14595" width="12.88671875" style="6" customWidth="1"/>
    <col min="14596" max="14596" width="12.33203125" style="6" customWidth="1"/>
    <col min="14597" max="14597" width="11" style="6" customWidth="1"/>
    <col min="14598" max="14598" width="10.5546875" style="6" customWidth="1"/>
    <col min="14599" max="14849" width="9.109375" style="6"/>
    <col min="14850" max="14850" width="18" style="6" customWidth="1"/>
    <col min="14851" max="14851" width="12.88671875" style="6" customWidth="1"/>
    <col min="14852" max="14852" width="12.33203125" style="6" customWidth="1"/>
    <col min="14853" max="14853" width="11" style="6" customWidth="1"/>
    <col min="14854" max="14854" width="10.5546875" style="6" customWidth="1"/>
    <col min="14855" max="15105" width="9.109375" style="6"/>
    <col min="15106" max="15106" width="18" style="6" customWidth="1"/>
    <col min="15107" max="15107" width="12.88671875" style="6" customWidth="1"/>
    <col min="15108" max="15108" width="12.33203125" style="6" customWidth="1"/>
    <col min="15109" max="15109" width="11" style="6" customWidth="1"/>
    <col min="15110" max="15110" width="10.5546875" style="6" customWidth="1"/>
    <col min="15111" max="15361" width="9.109375" style="6"/>
    <col min="15362" max="15362" width="18" style="6" customWidth="1"/>
    <col min="15363" max="15363" width="12.88671875" style="6" customWidth="1"/>
    <col min="15364" max="15364" width="12.33203125" style="6" customWidth="1"/>
    <col min="15365" max="15365" width="11" style="6" customWidth="1"/>
    <col min="15366" max="15366" width="10.5546875" style="6" customWidth="1"/>
    <col min="15367" max="15617" width="9.109375" style="6"/>
    <col min="15618" max="15618" width="18" style="6" customWidth="1"/>
    <col min="15619" max="15619" width="12.88671875" style="6" customWidth="1"/>
    <col min="15620" max="15620" width="12.33203125" style="6" customWidth="1"/>
    <col min="15621" max="15621" width="11" style="6" customWidth="1"/>
    <col min="15622" max="15622" width="10.5546875" style="6" customWidth="1"/>
    <col min="15623" max="15873" width="9.109375" style="6"/>
    <col min="15874" max="15874" width="18" style="6" customWidth="1"/>
    <col min="15875" max="15875" width="12.88671875" style="6" customWidth="1"/>
    <col min="15876" max="15876" width="12.33203125" style="6" customWidth="1"/>
    <col min="15877" max="15877" width="11" style="6" customWidth="1"/>
    <col min="15878" max="15878" width="10.5546875" style="6" customWidth="1"/>
    <col min="15879" max="16129" width="9.109375" style="6"/>
    <col min="16130" max="16130" width="18" style="6" customWidth="1"/>
    <col min="16131" max="16131" width="12.88671875" style="6" customWidth="1"/>
    <col min="16132" max="16132" width="12.33203125" style="6" customWidth="1"/>
    <col min="16133" max="16133" width="11" style="6" customWidth="1"/>
    <col min="16134" max="16134" width="10.5546875" style="6" customWidth="1"/>
    <col min="16135" max="16384" width="9.109375" style="6"/>
  </cols>
  <sheetData>
    <row r="1" spans="1:7">
      <c r="G1" s="1906" t="s">
        <v>128</v>
      </c>
    </row>
    <row r="2" spans="1:7" ht="33.75" customHeight="1">
      <c r="A2" s="53" t="s">
        <v>240</v>
      </c>
      <c r="B2" s="53"/>
      <c r="C2" s="53"/>
      <c r="D2" s="53"/>
      <c r="E2" s="53"/>
      <c r="F2" s="53"/>
      <c r="G2" s="53"/>
    </row>
    <row r="3" spans="1:7" ht="14.25" customHeight="1">
      <c r="A3" s="67" t="s">
        <v>1628</v>
      </c>
      <c r="B3" s="53"/>
      <c r="C3" s="53"/>
      <c r="D3" s="53"/>
      <c r="E3" s="53"/>
      <c r="F3" s="53"/>
      <c r="G3" s="53"/>
    </row>
    <row r="4" spans="1:7" ht="14.25" customHeight="1">
      <c r="A4" s="53"/>
      <c r="B4" s="2054"/>
      <c r="C4" s="2054"/>
      <c r="D4" s="2054"/>
      <c r="E4" s="2054"/>
      <c r="F4" s="2054"/>
      <c r="G4" s="2047" t="s">
        <v>1733</v>
      </c>
    </row>
    <row r="5" spans="1:7" ht="66">
      <c r="A5" s="2770" t="s">
        <v>54</v>
      </c>
      <c r="B5" s="2770" t="s">
        <v>71</v>
      </c>
      <c r="C5" s="2770" t="s">
        <v>129</v>
      </c>
      <c r="D5" s="2770" t="s">
        <v>103</v>
      </c>
      <c r="E5" s="2345" t="s">
        <v>130</v>
      </c>
      <c r="F5" s="2345" t="s">
        <v>131</v>
      </c>
      <c r="G5" s="2345" t="s">
        <v>108</v>
      </c>
    </row>
    <row r="6" spans="1:7">
      <c r="A6" s="2771"/>
      <c r="B6" s="2771"/>
      <c r="C6" s="2771"/>
      <c r="D6" s="2771"/>
      <c r="E6" s="2345" t="s">
        <v>132</v>
      </c>
      <c r="F6" s="2345" t="s">
        <v>133</v>
      </c>
      <c r="G6" s="2345" t="s">
        <v>111</v>
      </c>
    </row>
    <row r="7" spans="1:7">
      <c r="A7" s="2349">
        <v>1</v>
      </c>
      <c r="B7" s="2349">
        <f>+A7+1</f>
        <v>2</v>
      </c>
      <c r="C7" s="2349">
        <f>+B7+1</f>
        <v>3</v>
      </c>
      <c r="D7" s="2349">
        <f>+C7+1</f>
        <v>4</v>
      </c>
      <c r="E7" s="2349">
        <f>+D7+1</f>
        <v>5</v>
      </c>
      <c r="F7" s="2349">
        <f>+E7+1</f>
        <v>6</v>
      </c>
      <c r="G7" s="2349" t="s">
        <v>134</v>
      </c>
    </row>
    <row r="8" spans="1:7">
      <c r="A8" s="2772">
        <v>1</v>
      </c>
      <c r="B8" s="2777" t="s">
        <v>135</v>
      </c>
      <c r="C8" s="2777" t="s">
        <v>136</v>
      </c>
      <c r="D8" s="427">
        <v>1150</v>
      </c>
      <c r="E8" s="2346">
        <v>1000</v>
      </c>
      <c r="F8" s="743"/>
      <c r="G8" s="2347"/>
    </row>
    <row r="9" spans="1:7">
      <c r="A9" s="2772"/>
      <c r="B9" s="2777"/>
      <c r="C9" s="2777"/>
      <c r="D9" s="427">
        <v>750</v>
      </c>
      <c r="E9" s="2346">
        <v>600</v>
      </c>
      <c r="F9" s="743"/>
      <c r="G9" s="2347"/>
    </row>
    <row r="10" spans="1:7">
      <c r="A10" s="2772"/>
      <c r="B10" s="2777"/>
      <c r="C10" s="2777"/>
      <c r="D10" s="2347" t="s">
        <v>137</v>
      </c>
      <c r="E10" s="2346">
        <v>500</v>
      </c>
      <c r="F10" s="743"/>
      <c r="G10" s="2347"/>
    </row>
    <row r="11" spans="1:7">
      <c r="A11" s="2772"/>
      <c r="B11" s="2777"/>
      <c r="C11" s="2777"/>
      <c r="D11" s="2347">
        <v>330</v>
      </c>
      <c r="E11" s="2346">
        <v>250</v>
      </c>
      <c r="F11" s="743"/>
      <c r="G11" s="2347"/>
    </row>
    <row r="12" spans="1:7">
      <c r="A12" s="2772"/>
      <c r="B12" s="2777"/>
      <c r="C12" s="2777"/>
      <c r="D12" s="2347">
        <v>220</v>
      </c>
      <c r="E12" s="2346">
        <v>210</v>
      </c>
      <c r="F12" s="743">
        <v>1</v>
      </c>
      <c r="G12" s="437">
        <f>E12*F12</f>
        <v>210</v>
      </c>
    </row>
    <row r="13" spans="1:7">
      <c r="A13" s="2772"/>
      <c r="B13" s="2777"/>
      <c r="C13" s="2777"/>
      <c r="D13" s="2347" t="s">
        <v>138</v>
      </c>
      <c r="E13" s="2346">
        <v>105</v>
      </c>
      <c r="F13" s="744"/>
      <c r="G13" s="437">
        <f>E13*F13</f>
        <v>0</v>
      </c>
    </row>
    <row r="14" spans="1:7">
      <c r="A14" s="2772"/>
      <c r="B14" s="2777"/>
      <c r="C14" s="2777"/>
      <c r="D14" s="2347">
        <v>35</v>
      </c>
      <c r="E14" s="2346">
        <v>75</v>
      </c>
      <c r="F14" s="745"/>
      <c r="G14" s="437">
        <f>E14*F14</f>
        <v>0</v>
      </c>
    </row>
    <row r="15" spans="1:7" ht="12.75" customHeight="1">
      <c r="A15" s="2772">
        <v>2</v>
      </c>
      <c r="B15" s="2786" t="s">
        <v>139</v>
      </c>
      <c r="C15" s="2777" t="s">
        <v>140</v>
      </c>
      <c r="D15" s="427">
        <v>1150</v>
      </c>
      <c r="E15" s="2346">
        <v>60</v>
      </c>
      <c r="F15" s="745"/>
      <c r="G15" s="437"/>
    </row>
    <row r="16" spans="1:7">
      <c r="A16" s="2772"/>
      <c r="B16" s="2786"/>
      <c r="C16" s="2786"/>
      <c r="D16" s="427">
        <v>750</v>
      </c>
      <c r="E16" s="2346">
        <v>43</v>
      </c>
      <c r="F16" s="745"/>
      <c r="G16" s="437"/>
    </row>
    <row r="17" spans="1:7">
      <c r="A17" s="2772"/>
      <c r="B17" s="2786"/>
      <c r="C17" s="2786"/>
      <c r="D17" s="2347" t="s">
        <v>137</v>
      </c>
      <c r="E17" s="2346">
        <v>28</v>
      </c>
      <c r="F17" s="745"/>
      <c r="G17" s="437"/>
    </row>
    <row r="18" spans="1:7">
      <c r="A18" s="2772"/>
      <c r="B18" s="2786"/>
      <c r="C18" s="2786"/>
      <c r="D18" s="2347">
        <v>330</v>
      </c>
      <c r="E18" s="2346">
        <v>18</v>
      </c>
      <c r="F18" s="745"/>
      <c r="G18" s="437"/>
    </row>
    <row r="19" spans="1:7">
      <c r="A19" s="2772"/>
      <c r="B19" s="2786"/>
      <c r="C19" s="2786"/>
      <c r="D19" s="2347">
        <v>220</v>
      </c>
      <c r="E19" s="2346">
        <v>14</v>
      </c>
      <c r="F19" s="745">
        <v>2</v>
      </c>
      <c r="G19" s="437">
        <f>E19*F19</f>
        <v>28</v>
      </c>
    </row>
    <row r="20" spans="1:7">
      <c r="A20" s="2772"/>
      <c r="B20" s="2786"/>
      <c r="C20" s="2786"/>
      <c r="D20" s="2347" t="s">
        <v>138</v>
      </c>
      <c r="E20" s="2346">
        <v>7.8</v>
      </c>
      <c r="F20" s="744"/>
      <c r="G20" s="437">
        <f>E20*F20</f>
        <v>0</v>
      </c>
    </row>
    <row r="21" spans="1:7">
      <c r="A21" s="2772"/>
      <c r="B21" s="2786"/>
      <c r="C21" s="2786"/>
      <c r="D21" s="2347">
        <v>35</v>
      </c>
      <c r="E21" s="2346">
        <v>2.1</v>
      </c>
      <c r="F21" s="743"/>
      <c r="G21" s="437">
        <f>E21*F21</f>
        <v>0</v>
      </c>
    </row>
    <row r="22" spans="1:7">
      <c r="A22" s="2772"/>
      <c r="B22" s="2786"/>
      <c r="C22" s="2777"/>
      <c r="D22" s="438" t="s">
        <v>141</v>
      </c>
      <c r="E22" s="439">
        <v>1</v>
      </c>
      <c r="F22" s="2048">
        <f>22</f>
        <v>22</v>
      </c>
      <c r="G22" s="437">
        <f>E22*F22</f>
        <v>22</v>
      </c>
    </row>
    <row r="23" spans="1:7" ht="12.75" customHeight="1">
      <c r="A23" s="2772">
        <v>3</v>
      </c>
      <c r="B23" s="2786" t="s">
        <v>142</v>
      </c>
      <c r="C23" s="2777" t="s">
        <v>143</v>
      </c>
      <c r="D23" s="427">
        <v>1150</v>
      </c>
      <c r="E23" s="2347">
        <v>180</v>
      </c>
      <c r="F23" s="743"/>
      <c r="G23" s="2347"/>
    </row>
    <row r="24" spans="1:7">
      <c r="A24" s="2772"/>
      <c r="B24" s="2786"/>
      <c r="C24" s="2786"/>
      <c r="D24" s="427">
        <v>750</v>
      </c>
      <c r="E24" s="2347">
        <v>130</v>
      </c>
      <c r="F24" s="743"/>
      <c r="G24" s="2347"/>
    </row>
    <row r="25" spans="1:7">
      <c r="A25" s="2772"/>
      <c r="B25" s="2786"/>
      <c r="C25" s="2786"/>
      <c r="D25" s="2347" t="s">
        <v>137</v>
      </c>
      <c r="E25" s="2346">
        <v>88</v>
      </c>
      <c r="F25" s="743"/>
      <c r="G25" s="2347"/>
    </row>
    <row r="26" spans="1:7">
      <c r="A26" s="2772"/>
      <c r="B26" s="2786"/>
      <c r="C26" s="2786"/>
      <c r="D26" s="2347">
        <v>330</v>
      </c>
      <c r="E26" s="2346">
        <v>66</v>
      </c>
      <c r="F26" s="743"/>
      <c r="G26" s="2347"/>
    </row>
    <row r="27" spans="1:7">
      <c r="A27" s="2772"/>
      <c r="B27" s="2786"/>
      <c r="C27" s="2786"/>
      <c r="D27" s="2347">
        <v>220</v>
      </c>
      <c r="E27" s="2346">
        <v>43</v>
      </c>
      <c r="F27" s="743"/>
      <c r="G27" s="2347"/>
    </row>
    <row r="28" spans="1:7">
      <c r="A28" s="2772"/>
      <c r="B28" s="2786"/>
      <c r="C28" s="2786"/>
      <c r="D28" s="2347" t="s">
        <v>138</v>
      </c>
      <c r="E28" s="2346">
        <v>26</v>
      </c>
      <c r="F28" s="743"/>
      <c r="G28" s="2347"/>
    </row>
    <row r="29" spans="1:7">
      <c r="A29" s="2772"/>
      <c r="B29" s="2786"/>
      <c r="C29" s="2786"/>
      <c r="D29" s="2347">
        <v>35</v>
      </c>
      <c r="E29" s="2346">
        <v>11</v>
      </c>
      <c r="F29" s="743"/>
      <c r="G29" s="2347"/>
    </row>
    <row r="30" spans="1:7">
      <c r="A30" s="2772"/>
      <c r="B30" s="2786"/>
      <c r="C30" s="2777"/>
      <c r="D30" s="438" t="s">
        <v>141</v>
      </c>
      <c r="E30" s="2346">
        <v>5.5</v>
      </c>
      <c r="F30" s="1876">
        <f>6+3</f>
        <v>9</v>
      </c>
      <c r="G30" s="437">
        <f>E30*F30</f>
        <v>49.5</v>
      </c>
    </row>
    <row r="31" spans="1:7" ht="12.75" customHeight="1">
      <c r="A31" s="2772">
        <v>4</v>
      </c>
      <c r="B31" s="2777" t="s">
        <v>170</v>
      </c>
      <c r="C31" s="2777" t="s">
        <v>144</v>
      </c>
      <c r="D31" s="2347">
        <v>220</v>
      </c>
      <c r="E31" s="2347">
        <v>23</v>
      </c>
      <c r="F31" s="743"/>
      <c r="G31" s="2347"/>
    </row>
    <row r="32" spans="1:7">
      <c r="A32" s="2772"/>
      <c r="B32" s="2777"/>
      <c r="C32" s="2777"/>
      <c r="D32" s="2347" t="s">
        <v>138</v>
      </c>
      <c r="E32" s="2347">
        <v>14</v>
      </c>
      <c r="F32" s="743"/>
      <c r="G32" s="440">
        <f>E32*F32</f>
        <v>0</v>
      </c>
    </row>
    <row r="33" spans="1:10">
      <c r="A33" s="2772"/>
      <c r="B33" s="2777"/>
      <c r="C33" s="2777"/>
      <c r="D33" s="2347">
        <v>35</v>
      </c>
      <c r="E33" s="2347">
        <v>6.4</v>
      </c>
      <c r="F33" s="743"/>
      <c r="G33" s="2347"/>
    </row>
    <row r="34" spans="1:10">
      <c r="A34" s="2772"/>
      <c r="B34" s="2777"/>
      <c r="C34" s="2777"/>
      <c r="D34" s="438" t="s">
        <v>141</v>
      </c>
      <c r="E34" s="2347">
        <v>3.1</v>
      </c>
      <c r="F34" s="1877">
        <v>67</v>
      </c>
      <c r="G34" s="437">
        <f>E34*F34</f>
        <v>207.70000000000002</v>
      </c>
    </row>
    <row r="35" spans="1:10" ht="12.75" customHeight="1">
      <c r="A35" s="2772">
        <v>5</v>
      </c>
      <c r="B35" s="2777" t="s">
        <v>145</v>
      </c>
      <c r="C35" s="2777" t="s">
        <v>140</v>
      </c>
      <c r="D35" s="2347" t="s">
        <v>137</v>
      </c>
      <c r="E35" s="2346">
        <v>35</v>
      </c>
      <c r="F35" s="743"/>
      <c r="G35" s="2347"/>
    </row>
    <row r="36" spans="1:10">
      <c r="A36" s="2772"/>
      <c r="B36" s="2777"/>
      <c r="C36" s="2777"/>
      <c r="D36" s="2347">
        <v>330</v>
      </c>
      <c r="E36" s="2347">
        <v>24</v>
      </c>
      <c r="F36" s="743"/>
      <c r="G36" s="2347"/>
    </row>
    <row r="37" spans="1:10">
      <c r="A37" s="2772"/>
      <c r="B37" s="2777"/>
      <c r="C37" s="2777"/>
      <c r="D37" s="2347">
        <v>220</v>
      </c>
      <c r="E37" s="2347">
        <v>19</v>
      </c>
      <c r="F37" s="743"/>
      <c r="G37" s="2347"/>
    </row>
    <row r="38" spans="1:10">
      <c r="A38" s="2772"/>
      <c r="B38" s="2777"/>
      <c r="C38" s="2777"/>
      <c r="D38" s="2347" t="s">
        <v>138</v>
      </c>
      <c r="E38" s="2347">
        <v>9.5</v>
      </c>
      <c r="F38" s="744"/>
      <c r="G38" s="437">
        <f>E38*F38</f>
        <v>0</v>
      </c>
    </row>
    <row r="39" spans="1:10">
      <c r="A39" s="2772"/>
      <c r="B39" s="2777"/>
      <c r="C39" s="2777"/>
      <c r="D39" s="2347">
        <v>35</v>
      </c>
      <c r="E39" s="2347">
        <v>4.7</v>
      </c>
      <c r="F39" s="743"/>
      <c r="G39" s="437">
        <f>E39*F39</f>
        <v>0</v>
      </c>
    </row>
    <row r="40" spans="1:10" ht="26.4">
      <c r="A40" s="2346">
        <v>6</v>
      </c>
      <c r="B40" s="2347" t="s">
        <v>146</v>
      </c>
      <c r="C40" s="2347" t="s">
        <v>144</v>
      </c>
      <c r="D40" s="441" t="s">
        <v>141</v>
      </c>
      <c r="E40" s="2347">
        <v>2.2999999999999998</v>
      </c>
      <c r="F40" s="744">
        <f>4+3</f>
        <v>7</v>
      </c>
      <c r="G40" s="440">
        <f>E40*F40</f>
        <v>16.099999999999998</v>
      </c>
    </row>
    <row r="41" spans="1:10" ht="39.6">
      <c r="A41" s="2346">
        <v>7</v>
      </c>
      <c r="B41" s="2347" t="s">
        <v>147</v>
      </c>
      <c r="C41" s="2347" t="s">
        <v>144</v>
      </c>
      <c r="D41" s="441" t="s">
        <v>141</v>
      </c>
      <c r="E41" s="2347">
        <v>26</v>
      </c>
      <c r="F41" s="743"/>
      <c r="G41" s="2347"/>
    </row>
    <row r="42" spans="1:10" ht="26.4">
      <c r="A42" s="2346">
        <v>8</v>
      </c>
      <c r="B42" s="2347" t="s">
        <v>148</v>
      </c>
      <c r="C42" s="2347" t="s">
        <v>144</v>
      </c>
      <c r="D42" s="441" t="s">
        <v>141</v>
      </c>
      <c r="E42" s="2347">
        <v>48</v>
      </c>
      <c r="F42" s="743"/>
      <c r="G42" s="2347"/>
    </row>
    <row r="43" spans="1:10" ht="12.75" customHeight="1">
      <c r="A43" s="2772">
        <v>9</v>
      </c>
      <c r="B43" s="2777" t="s">
        <v>149</v>
      </c>
      <c r="C43" s="2777" t="s">
        <v>150</v>
      </c>
      <c r="D43" s="2347">
        <v>35</v>
      </c>
      <c r="E43" s="2347">
        <v>2.4</v>
      </c>
      <c r="F43" s="743"/>
      <c r="G43" s="2347"/>
    </row>
    <row r="44" spans="1:10">
      <c r="A44" s="2772"/>
      <c r="B44" s="2777"/>
      <c r="C44" s="2777"/>
      <c r="D44" s="441" t="s">
        <v>141</v>
      </c>
      <c r="E44" s="2347">
        <v>2.4</v>
      </c>
      <c r="F44" s="743"/>
      <c r="G44" s="437">
        <f>E44*F44</f>
        <v>0</v>
      </c>
    </row>
    <row r="45" spans="1:10" ht="26.4">
      <c r="A45" s="2346">
        <v>10</v>
      </c>
      <c r="B45" s="2347" t="s">
        <v>151</v>
      </c>
      <c r="C45" s="2347" t="s">
        <v>152</v>
      </c>
      <c r="D45" s="441" t="s">
        <v>141</v>
      </c>
      <c r="E45" s="2347">
        <v>2.5</v>
      </c>
      <c r="F45" s="744"/>
      <c r="G45" s="440">
        <f>E45*F45</f>
        <v>0</v>
      </c>
    </row>
    <row r="46" spans="1:10" ht="26.4">
      <c r="A46" s="2346">
        <v>11</v>
      </c>
      <c r="B46" s="2347" t="s">
        <v>153</v>
      </c>
      <c r="C46" s="2347" t="s">
        <v>154</v>
      </c>
      <c r="D46" s="441" t="s">
        <v>141</v>
      </c>
      <c r="E46" s="2347">
        <v>2.2999999999999998</v>
      </c>
      <c r="F46" s="1878">
        <v>2</v>
      </c>
      <c r="G46" s="440">
        <f>E46*F46</f>
        <v>4.5999999999999996</v>
      </c>
    </row>
    <row r="47" spans="1:10" ht="26.4">
      <c r="A47" s="2346">
        <v>12</v>
      </c>
      <c r="B47" s="2347" t="s">
        <v>155</v>
      </c>
      <c r="C47" s="2347" t="s">
        <v>154</v>
      </c>
      <c r="D47" s="441" t="s">
        <v>141</v>
      </c>
      <c r="E47" s="2347">
        <v>3</v>
      </c>
      <c r="F47" s="2052">
        <f>11+2</f>
        <v>13</v>
      </c>
      <c r="G47" s="440">
        <f>E47*F47</f>
        <v>39</v>
      </c>
    </row>
    <row r="48" spans="1:10" ht="39.6">
      <c r="A48" s="2346">
        <v>13</v>
      </c>
      <c r="B48" s="2347" t="s">
        <v>926</v>
      </c>
      <c r="C48" s="2347" t="s">
        <v>156</v>
      </c>
      <c r="D48" s="2347">
        <v>35</v>
      </c>
      <c r="E48" s="2347">
        <v>3.5</v>
      </c>
      <c r="F48" s="743"/>
      <c r="G48" s="2347"/>
      <c r="J48" s="6">
        <f>SUM(G8:G48)</f>
        <v>576.90000000000009</v>
      </c>
    </row>
    <row r="49" spans="1:11">
      <c r="A49" s="2772" t="s">
        <v>157</v>
      </c>
      <c r="B49" s="2777" t="s">
        <v>158</v>
      </c>
      <c r="C49" s="2777"/>
      <c r="D49" s="2347" t="s">
        <v>292</v>
      </c>
      <c r="E49" s="437">
        <v>0</v>
      </c>
      <c r="F49" s="437">
        <v>0</v>
      </c>
      <c r="G49" s="437">
        <f>G12+G19</f>
        <v>238</v>
      </c>
    </row>
    <row r="50" spans="1:11">
      <c r="A50" s="2772"/>
      <c r="B50" s="2777"/>
      <c r="C50" s="2777"/>
      <c r="D50" s="2347" t="s">
        <v>85</v>
      </c>
      <c r="E50" s="437">
        <v>0</v>
      </c>
      <c r="F50" s="437">
        <v>0</v>
      </c>
      <c r="G50" s="437">
        <f>G14+G21+G22+G29+G30+G33+G34+G39+G40+G41+G42+G43+G44+G45+G46+G47+G48</f>
        <v>338.90000000000009</v>
      </c>
    </row>
    <row r="51" spans="1:11">
      <c r="A51" s="2772"/>
      <c r="B51" s="2777"/>
      <c r="C51" s="2777"/>
      <c r="D51" s="2347" t="s">
        <v>280</v>
      </c>
      <c r="E51" s="437">
        <v>0</v>
      </c>
      <c r="F51" s="437">
        <v>0</v>
      </c>
      <c r="G51" s="442">
        <v>0</v>
      </c>
      <c r="J51" s="78">
        <f>G49+G50+G51</f>
        <v>576.90000000000009</v>
      </c>
      <c r="K51" s="418">
        <f>SUMIF($D$8:$D$48,$D$22,$G$8:$G$48)+G14+G21+G39+G12+G19</f>
        <v>576.90000000000009</v>
      </c>
    </row>
    <row r="52" spans="1:11">
      <c r="A52" s="25"/>
      <c r="B52" s="26"/>
      <c r="C52" s="26"/>
      <c r="D52" s="26"/>
      <c r="E52" s="25"/>
      <c r="F52" s="25"/>
      <c r="G52" s="26"/>
    </row>
    <row r="53" spans="1:11">
      <c r="A53" s="6" t="s">
        <v>266</v>
      </c>
    </row>
    <row r="54" spans="1:11" ht="21.75" customHeight="1">
      <c r="A54" s="2784" t="s">
        <v>609</v>
      </c>
      <c r="B54" s="2784"/>
      <c r="C54" s="2784"/>
      <c r="D54" s="2784"/>
      <c r="E54" s="2784"/>
      <c r="F54" s="2784"/>
      <c r="G54" s="2784"/>
    </row>
    <row r="55" spans="1:11" ht="39.75" customHeight="1">
      <c r="A55" s="2784" t="s">
        <v>610</v>
      </c>
      <c r="B55" s="2784"/>
      <c r="C55" s="2784"/>
      <c r="D55" s="2784"/>
      <c r="E55" s="2784"/>
      <c r="F55" s="2784"/>
      <c r="G55" s="2784"/>
    </row>
    <row r="56" spans="1:11" ht="31.5" customHeight="1">
      <c r="A56" s="2785" t="s">
        <v>611</v>
      </c>
      <c r="B56" s="2785"/>
      <c r="C56" s="2785"/>
      <c r="D56" s="2785"/>
      <c r="E56" s="2785"/>
      <c r="F56" s="2785"/>
      <c r="G56" s="2785"/>
    </row>
    <row r="57" spans="1:11" ht="41.25" customHeight="1">
      <c r="A57" s="2784" t="s">
        <v>612</v>
      </c>
      <c r="B57" s="2784"/>
      <c r="C57" s="2784"/>
      <c r="D57" s="2784"/>
      <c r="E57" s="2784"/>
      <c r="F57" s="2784"/>
      <c r="G57" s="2784"/>
    </row>
    <row r="58" spans="1:11" ht="46.5" customHeight="1">
      <c r="A58" s="2784" t="s">
        <v>613</v>
      </c>
      <c r="B58" s="2784"/>
      <c r="C58" s="2784"/>
      <c r="D58" s="2784"/>
      <c r="E58" s="2784"/>
      <c r="F58" s="2784"/>
      <c r="G58" s="2784"/>
    </row>
    <row r="59" spans="1:11" ht="45.75" customHeight="1">
      <c r="A59" s="2784" t="s">
        <v>614</v>
      </c>
      <c r="B59" s="2784"/>
      <c r="C59" s="2784"/>
      <c r="D59" s="2784"/>
      <c r="E59" s="2784"/>
      <c r="F59" s="2784"/>
      <c r="G59" s="2784"/>
    </row>
    <row r="60" spans="1:11" ht="27.75" customHeight="1">
      <c r="A60" s="2784" t="s">
        <v>615</v>
      </c>
      <c r="B60" s="2784"/>
      <c r="C60" s="2784"/>
      <c r="D60" s="2784"/>
      <c r="E60" s="2784"/>
      <c r="F60" s="2784"/>
      <c r="G60" s="2784"/>
    </row>
    <row r="61" spans="1:11" ht="28.5" customHeight="1">
      <c r="A61" s="2784" t="s">
        <v>616</v>
      </c>
      <c r="B61" s="2784"/>
      <c r="C61" s="2784"/>
      <c r="D61" s="2784"/>
      <c r="E61" s="2784"/>
      <c r="F61" s="2784"/>
      <c r="G61" s="2784"/>
    </row>
    <row r="62" spans="1:11" ht="33.75" customHeight="1">
      <c r="A62" s="2784" t="s">
        <v>617</v>
      </c>
      <c r="B62" s="2784"/>
      <c r="C62" s="2784"/>
      <c r="D62" s="2784"/>
      <c r="E62" s="2784"/>
      <c r="F62" s="2784"/>
      <c r="G62" s="2784"/>
    </row>
    <row r="63" spans="1:11" s="2377" customFormat="1" ht="23.25" customHeight="1">
      <c r="A63" s="2374" t="s">
        <v>731</v>
      </c>
      <c r="B63" s="2375"/>
      <c r="C63" s="2376"/>
      <c r="H63" s="2378"/>
    </row>
    <row r="64" spans="1:11" s="2377" customFormat="1" ht="15" customHeight="1">
      <c r="A64" s="2374" t="s">
        <v>761</v>
      </c>
      <c r="B64" s="2379"/>
      <c r="C64" s="2376"/>
      <c r="G64" s="2380" t="s">
        <v>733</v>
      </c>
    </row>
    <row r="65" spans="1:7" s="28" customFormat="1"/>
    <row r="66" spans="1:7" s="28" customFormat="1">
      <c r="A66" s="51"/>
    </row>
    <row r="67" spans="1:7" s="28" customFormat="1">
      <c r="A67" s="51"/>
    </row>
    <row r="68" spans="1:7" ht="58.5" customHeight="1">
      <c r="A68" s="2784"/>
      <c r="B68" s="2784"/>
      <c r="C68" s="2784"/>
      <c r="D68" s="2784"/>
      <c r="E68" s="2784"/>
      <c r="F68" s="2784"/>
      <c r="G68" s="2784"/>
    </row>
    <row r="69" spans="1:7" ht="53.25" customHeight="1">
      <c r="A69" s="2784"/>
      <c r="B69" s="2784"/>
      <c r="C69" s="2784"/>
      <c r="D69" s="2784"/>
      <c r="E69" s="2784"/>
      <c r="F69" s="2784"/>
      <c r="G69" s="2784"/>
    </row>
    <row r="70" spans="1:7" ht="31.5" customHeight="1">
      <c r="A70" s="2784"/>
      <c r="B70" s="2784"/>
      <c r="C70" s="2784"/>
      <c r="D70" s="2784"/>
      <c r="E70" s="2784"/>
      <c r="F70" s="2784"/>
      <c r="G70" s="2784"/>
    </row>
    <row r="71" spans="1:7" ht="27.75" customHeight="1">
      <c r="A71" s="2783"/>
      <c r="B71" s="2783"/>
      <c r="C71" s="2783"/>
      <c r="D71" s="2783"/>
      <c r="E71" s="2783"/>
      <c r="F71" s="2783"/>
      <c r="G71" s="2783"/>
    </row>
  </sheetData>
  <mergeCells count="37">
    <mergeCell ref="A5:A6"/>
    <mergeCell ref="B5:B6"/>
    <mergeCell ref="C5:C6"/>
    <mergeCell ref="D5:D6"/>
    <mergeCell ref="A8:A14"/>
    <mergeCell ref="B8:B14"/>
    <mergeCell ref="C8:C14"/>
    <mergeCell ref="A15:A22"/>
    <mergeCell ref="B15:B22"/>
    <mergeCell ref="C15:C22"/>
    <mergeCell ref="A23:A30"/>
    <mergeCell ref="B23:B30"/>
    <mergeCell ref="C23:C30"/>
    <mergeCell ref="A54:G54"/>
    <mergeCell ref="A31:A34"/>
    <mergeCell ref="B31:B34"/>
    <mergeCell ref="C31:C34"/>
    <mergeCell ref="A35:A39"/>
    <mergeCell ref="B35:B39"/>
    <mergeCell ref="C35:C39"/>
    <mergeCell ref="A43:A44"/>
    <mergeCell ref="B43:B44"/>
    <mergeCell ref="C43:C44"/>
    <mergeCell ref="A49:A51"/>
    <mergeCell ref="B49:C51"/>
    <mergeCell ref="A71:G71"/>
    <mergeCell ref="A55:G55"/>
    <mergeCell ref="A56:G56"/>
    <mergeCell ref="A57:G57"/>
    <mergeCell ref="A58:G58"/>
    <mergeCell ref="A59:G59"/>
    <mergeCell ref="A60:G60"/>
    <mergeCell ref="A61:G61"/>
    <mergeCell ref="A62:G62"/>
    <mergeCell ref="A68:G68"/>
    <mergeCell ref="A69:G69"/>
    <mergeCell ref="A70:G70"/>
  </mergeCells>
  <printOptions horizontalCentered="1"/>
  <pageMargins left="0.78740157480314965" right="0.78740157480314965" top="0.59055118110236227" bottom="0.11811023622047245" header="0.51181102362204722" footer="3.937007874015748E-2"/>
  <pageSetup paperSize="9" scale="87" orientation="portrait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7"/>
  <dimension ref="A1:Q124"/>
  <sheetViews>
    <sheetView workbookViewId="0">
      <selection activeCell="K8" sqref="K8"/>
    </sheetView>
  </sheetViews>
  <sheetFormatPr defaultRowHeight="14.4" outlineLevelRow="1"/>
  <cols>
    <col min="1" max="1" width="9.109375" style="2227"/>
    <col min="2" max="2" width="13.33203125" style="2227" customWidth="1"/>
    <col min="3" max="3" width="8.5546875" style="2284" customWidth="1"/>
    <col min="4" max="4" width="13.33203125" style="2227" customWidth="1"/>
    <col min="5" max="5" width="8.5546875" style="2227" customWidth="1"/>
    <col min="6" max="6" width="13.33203125" style="2227" customWidth="1"/>
    <col min="7" max="7" width="8.5546875" style="2227" customWidth="1"/>
    <col min="8" max="257" width="9.109375" style="2227"/>
    <col min="258" max="258" width="13.33203125" style="2227" customWidth="1"/>
    <col min="259" max="259" width="8.5546875" style="2227" customWidth="1"/>
    <col min="260" max="260" width="13.33203125" style="2227" customWidth="1"/>
    <col min="261" max="261" width="8.5546875" style="2227" customWidth="1"/>
    <col min="262" max="262" width="13.33203125" style="2227" customWidth="1"/>
    <col min="263" max="263" width="8.5546875" style="2227" customWidth="1"/>
    <col min="264" max="513" width="9.109375" style="2227"/>
    <col min="514" max="514" width="13.33203125" style="2227" customWidth="1"/>
    <col min="515" max="515" width="8.5546875" style="2227" customWidth="1"/>
    <col min="516" max="516" width="13.33203125" style="2227" customWidth="1"/>
    <col min="517" max="517" width="8.5546875" style="2227" customWidth="1"/>
    <col min="518" max="518" width="13.33203125" style="2227" customWidth="1"/>
    <col min="519" max="519" width="8.5546875" style="2227" customWidth="1"/>
    <col min="520" max="769" width="9.109375" style="2227"/>
    <col min="770" max="770" width="13.33203125" style="2227" customWidth="1"/>
    <col min="771" max="771" width="8.5546875" style="2227" customWidth="1"/>
    <col min="772" max="772" width="13.33203125" style="2227" customWidth="1"/>
    <col min="773" max="773" width="8.5546875" style="2227" customWidth="1"/>
    <col min="774" max="774" width="13.33203125" style="2227" customWidth="1"/>
    <col min="775" max="775" width="8.5546875" style="2227" customWidth="1"/>
    <col min="776" max="1025" width="9.109375" style="2227"/>
    <col min="1026" max="1026" width="13.33203125" style="2227" customWidth="1"/>
    <col min="1027" max="1027" width="8.5546875" style="2227" customWidth="1"/>
    <col min="1028" max="1028" width="13.33203125" style="2227" customWidth="1"/>
    <col min="1029" max="1029" width="8.5546875" style="2227" customWidth="1"/>
    <col min="1030" max="1030" width="13.33203125" style="2227" customWidth="1"/>
    <col min="1031" max="1031" width="8.5546875" style="2227" customWidth="1"/>
    <col min="1032" max="1281" width="9.109375" style="2227"/>
    <col min="1282" max="1282" width="13.33203125" style="2227" customWidth="1"/>
    <col min="1283" max="1283" width="8.5546875" style="2227" customWidth="1"/>
    <col min="1284" max="1284" width="13.33203125" style="2227" customWidth="1"/>
    <col min="1285" max="1285" width="8.5546875" style="2227" customWidth="1"/>
    <col min="1286" max="1286" width="13.33203125" style="2227" customWidth="1"/>
    <col min="1287" max="1287" width="8.5546875" style="2227" customWidth="1"/>
    <col min="1288" max="1537" width="9.109375" style="2227"/>
    <col min="1538" max="1538" width="13.33203125" style="2227" customWidth="1"/>
    <col min="1539" max="1539" width="8.5546875" style="2227" customWidth="1"/>
    <col min="1540" max="1540" width="13.33203125" style="2227" customWidth="1"/>
    <col min="1541" max="1541" width="8.5546875" style="2227" customWidth="1"/>
    <col min="1542" max="1542" width="13.33203125" style="2227" customWidth="1"/>
    <col min="1543" max="1543" width="8.5546875" style="2227" customWidth="1"/>
    <col min="1544" max="1793" width="9.109375" style="2227"/>
    <col min="1794" max="1794" width="13.33203125" style="2227" customWidth="1"/>
    <col min="1795" max="1795" width="8.5546875" style="2227" customWidth="1"/>
    <col min="1796" max="1796" width="13.33203125" style="2227" customWidth="1"/>
    <col min="1797" max="1797" width="8.5546875" style="2227" customWidth="1"/>
    <col min="1798" max="1798" width="13.33203125" style="2227" customWidth="1"/>
    <col min="1799" max="1799" width="8.5546875" style="2227" customWidth="1"/>
    <col min="1800" max="2049" width="9.109375" style="2227"/>
    <col min="2050" max="2050" width="13.33203125" style="2227" customWidth="1"/>
    <col min="2051" max="2051" width="8.5546875" style="2227" customWidth="1"/>
    <col min="2052" max="2052" width="13.33203125" style="2227" customWidth="1"/>
    <col min="2053" max="2053" width="8.5546875" style="2227" customWidth="1"/>
    <col min="2054" max="2054" width="13.33203125" style="2227" customWidth="1"/>
    <col min="2055" max="2055" width="8.5546875" style="2227" customWidth="1"/>
    <col min="2056" max="2305" width="9.109375" style="2227"/>
    <col min="2306" max="2306" width="13.33203125" style="2227" customWidth="1"/>
    <col min="2307" max="2307" width="8.5546875" style="2227" customWidth="1"/>
    <col min="2308" max="2308" width="13.33203125" style="2227" customWidth="1"/>
    <col min="2309" max="2309" width="8.5546875" style="2227" customWidth="1"/>
    <col min="2310" max="2310" width="13.33203125" style="2227" customWidth="1"/>
    <col min="2311" max="2311" width="8.5546875" style="2227" customWidth="1"/>
    <col min="2312" max="2561" width="9.109375" style="2227"/>
    <col min="2562" max="2562" width="13.33203125" style="2227" customWidth="1"/>
    <col min="2563" max="2563" width="8.5546875" style="2227" customWidth="1"/>
    <col min="2564" max="2564" width="13.33203125" style="2227" customWidth="1"/>
    <col min="2565" max="2565" width="8.5546875" style="2227" customWidth="1"/>
    <col min="2566" max="2566" width="13.33203125" style="2227" customWidth="1"/>
    <col min="2567" max="2567" width="8.5546875" style="2227" customWidth="1"/>
    <col min="2568" max="2817" width="9.109375" style="2227"/>
    <col min="2818" max="2818" width="13.33203125" style="2227" customWidth="1"/>
    <col min="2819" max="2819" width="8.5546875" style="2227" customWidth="1"/>
    <col min="2820" max="2820" width="13.33203125" style="2227" customWidth="1"/>
    <col min="2821" max="2821" width="8.5546875" style="2227" customWidth="1"/>
    <col min="2822" max="2822" width="13.33203125" style="2227" customWidth="1"/>
    <col min="2823" max="2823" width="8.5546875" style="2227" customWidth="1"/>
    <col min="2824" max="3073" width="9.109375" style="2227"/>
    <col min="3074" max="3074" width="13.33203125" style="2227" customWidth="1"/>
    <col min="3075" max="3075" width="8.5546875" style="2227" customWidth="1"/>
    <col min="3076" max="3076" width="13.33203125" style="2227" customWidth="1"/>
    <col min="3077" max="3077" width="8.5546875" style="2227" customWidth="1"/>
    <col min="3078" max="3078" width="13.33203125" style="2227" customWidth="1"/>
    <col min="3079" max="3079" width="8.5546875" style="2227" customWidth="1"/>
    <col min="3080" max="3329" width="9.109375" style="2227"/>
    <col min="3330" max="3330" width="13.33203125" style="2227" customWidth="1"/>
    <col min="3331" max="3331" width="8.5546875" style="2227" customWidth="1"/>
    <col min="3332" max="3332" width="13.33203125" style="2227" customWidth="1"/>
    <col min="3333" max="3333" width="8.5546875" style="2227" customWidth="1"/>
    <col min="3334" max="3334" width="13.33203125" style="2227" customWidth="1"/>
    <col min="3335" max="3335" width="8.5546875" style="2227" customWidth="1"/>
    <col min="3336" max="3585" width="9.109375" style="2227"/>
    <col min="3586" max="3586" width="13.33203125" style="2227" customWidth="1"/>
    <col min="3587" max="3587" width="8.5546875" style="2227" customWidth="1"/>
    <col min="3588" max="3588" width="13.33203125" style="2227" customWidth="1"/>
    <col min="3589" max="3589" width="8.5546875" style="2227" customWidth="1"/>
    <col min="3590" max="3590" width="13.33203125" style="2227" customWidth="1"/>
    <col min="3591" max="3591" width="8.5546875" style="2227" customWidth="1"/>
    <col min="3592" max="3841" width="9.109375" style="2227"/>
    <col min="3842" max="3842" width="13.33203125" style="2227" customWidth="1"/>
    <col min="3843" max="3843" width="8.5546875" style="2227" customWidth="1"/>
    <col min="3844" max="3844" width="13.33203125" style="2227" customWidth="1"/>
    <col min="3845" max="3845" width="8.5546875" style="2227" customWidth="1"/>
    <col min="3846" max="3846" width="13.33203125" style="2227" customWidth="1"/>
    <col min="3847" max="3847" width="8.5546875" style="2227" customWidth="1"/>
    <col min="3848" max="4097" width="9.109375" style="2227"/>
    <col min="4098" max="4098" width="13.33203125" style="2227" customWidth="1"/>
    <col min="4099" max="4099" width="8.5546875" style="2227" customWidth="1"/>
    <col min="4100" max="4100" width="13.33203125" style="2227" customWidth="1"/>
    <col min="4101" max="4101" width="8.5546875" style="2227" customWidth="1"/>
    <col min="4102" max="4102" width="13.33203125" style="2227" customWidth="1"/>
    <col min="4103" max="4103" width="8.5546875" style="2227" customWidth="1"/>
    <col min="4104" max="4353" width="9.109375" style="2227"/>
    <col min="4354" max="4354" width="13.33203125" style="2227" customWidth="1"/>
    <col min="4355" max="4355" width="8.5546875" style="2227" customWidth="1"/>
    <col min="4356" max="4356" width="13.33203125" style="2227" customWidth="1"/>
    <col min="4357" max="4357" width="8.5546875" style="2227" customWidth="1"/>
    <col min="4358" max="4358" width="13.33203125" style="2227" customWidth="1"/>
    <col min="4359" max="4359" width="8.5546875" style="2227" customWidth="1"/>
    <col min="4360" max="4609" width="9.109375" style="2227"/>
    <col min="4610" max="4610" width="13.33203125" style="2227" customWidth="1"/>
    <col min="4611" max="4611" width="8.5546875" style="2227" customWidth="1"/>
    <col min="4612" max="4612" width="13.33203125" style="2227" customWidth="1"/>
    <col min="4613" max="4613" width="8.5546875" style="2227" customWidth="1"/>
    <col min="4614" max="4614" width="13.33203125" style="2227" customWidth="1"/>
    <col min="4615" max="4615" width="8.5546875" style="2227" customWidth="1"/>
    <col min="4616" max="4865" width="9.109375" style="2227"/>
    <col min="4866" max="4866" width="13.33203125" style="2227" customWidth="1"/>
    <col min="4867" max="4867" width="8.5546875" style="2227" customWidth="1"/>
    <col min="4868" max="4868" width="13.33203125" style="2227" customWidth="1"/>
    <col min="4869" max="4869" width="8.5546875" style="2227" customWidth="1"/>
    <col min="4870" max="4870" width="13.33203125" style="2227" customWidth="1"/>
    <col min="4871" max="4871" width="8.5546875" style="2227" customWidth="1"/>
    <col min="4872" max="5121" width="9.109375" style="2227"/>
    <col min="5122" max="5122" width="13.33203125" style="2227" customWidth="1"/>
    <col min="5123" max="5123" width="8.5546875" style="2227" customWidth="1"/>
    <col min="5124" max="5124" width="13.33203125" style="2227" customWidth="1"/>
    <col min="5125" max="5125" width="8.5546875" style="2227" customWidth="1"/>
    <col min="5126" max="5126" width="13.33203125" style="2227" customWidth="1"/>
    <col min="5127" max="5127" width="8.5546875" style="2227" customWidth="1"/>
    <col min="5128" max="5377" width="9.109375" style="2227"/>
    <col min="5378" max="5378" width="13.33203125" style="2227" customWidth="1"/>
    <col min="5379" max="5379" width="8.5546875" style="2227" customWidth="1"/>
    <col min="5380" max="5380" width="13.33203125" style="2227" customWidth="1"/>
    <col min="5381" max="5381" width="8.5546875" style="2227" customWidth="1"/>
    <col min="5382" max="5382" width="13.33203125" style="2227" customWidth="1"/>
    <col min="5383" max="5383" width="8.5546875" style="2227" customWidth="1"/>
    <col min="5384" max="5633" width="9.109375" style="2227"/>
    <col min="5634" max="5634" width="13.33203125" style="2227" customWidth="1"/>
    <col min="5635" max="5635" width="8.5546875" style="2227" customWidth="1"/>
    <col min="5636" max="5636" width="13.33203125" style="2227" customWidth="1"/>
    <col min="5637" max="5637" width="8.5546875" style="2227" customWidth="1"/>
    <col min="5638" max="5638" width="13.33203125" style="2227" customWidth="1"/>
    <col min="5639" max="5639" width="8.5546875" style="2227" customWidth="1"/>
    <col min="5640" max="5889" width="9.109375" style="2227"/>
    <col min="5890" max="5890" width="13.33203125" style="2227" customWidth="1"/>
    <col min="5891" max="5891" width="8.5546875" style="2227" customWidth="1"/>
    <col min="5892" max="5892" width="13.33203125" style="2227" customWidth="1"/>
    <col min="5893" max="5893" width="8.5546875" style="2227" customWidth="1"/>
    <col min="5894" max="5894" width="13.33203125" style="2227" customWidth="1"/>
    <col min="5895" max="5895" width="8.5546875" style="2227" customWidth="1"/>
    <col min="5896" max="6145" width="9.109375" style="2227"/>
    <col min="6146" max="6146" width="13.33203125" style="2227" customWidth="1"/>
    <col min="6147" max="6147" width="8.5546875" style="2227" customWidth="1"/>
    <col min="6148" max="6148" width="13.33203125" style="2227" customWidth="1"/>
    <col min="6149" max="6149" width="8.5546875" style="2227" customWidth="1"/>
    <col min="6150" max="6150" width="13.33203125" style="2227" customWidth="1"/>
    <col min="6151" max="6151" width="8.5546875" style="2227" customWidth="1"/>
    <col min="6152" max="6401" width="9.109375" style="2227"/>
    <col min="6402" max="6402" width="13.33203125" style="2227" customWidth="1"/>
    <col min="6403" max="6403" width="8.5546875" style="2227" customWidth="1"/>
    <col min="6404" max="6404" width="13.33203125" style="2227" customWidth="1"/>
    <col min="6405" max="6405" width="8.5546875" style="2227" customWidth="1"/>
    <col min="6406" max="6406" width="13.33203125" style="2227" customWidth="1"/>
    <col min="6407" max="6407" width="8.5546875" style="2227" customWidth="1"/>
    <col min="6408" max="6657" width="9.109375" style="2227"/>
    <col min="6658" max="6658" width="13.33203125" style="2227" customWidth="1"/>
    <col min="6659" max="6659" width="8.5546875" style="2227" customWidth="1"/>
    <col min="6660" max="6660" width="13.33203125" style="2227" customWidth="1"/>
    <col min="6661" max="6661" width="8.5546875" style="2227" customWidth="1"/>
    <col min="6662" max="6662" width="13.33203125" style="2227" customWidth="1"/>
    <col min="6663" max="6663" width="8.5546875" style="2227" customWidth="1"/>
    <col min="6664" max="6913" width="9.109375" style="2227"/>
    <col min="6914" max="6914" width="13.33203125" style="2227" customWidth="1"/>
    <col min="6915" max="6915" width="8.5546875" style="2227" customWidth="1"/>
    <col min="6916" max="6916" width="13.33203125" style="2227" customWidth="1"/>
    <col min="6917" max="6917" width="8.5546875" style="2227" customWidth="1"/>
    <col min="6918" max="6918" width="13.33203125" style="2227" customWidth="1"/>
    <col min="6919" max="6919" width="8.5546875" style="2227" customWidth="1"/>
    <col min="6920" max="7169" width="9.109375" style="2227"/>
    <col min="7170" max="7170" width="13.33203125" style="2227" customWidth="1"/>
    <col min="7171" max="7171" width="8.5546875" style="2227" customWidth="1"/>
    <col min="7172" max="7172" width="13.33203125" style="2227" customWidth="1"/>
    <col min="7173" max="7173" width="8.5546875" style="2227" customWidth="1"/>
    <col min="7174" max="7174" width="13.33203125" style="2227" customWidth="1"/>
    <col min="7175" max="7175" width="8.5546875" style="2227" customWidth="1"/>
    <col min="7176" max="7425" width="9.109375" style="2227"/>
    <col min="7426" max="7426" width="13.33203125" style="2227" customWidth="1"/>
    <col min="7427" max="7427" width="8.5546875" style="2227" customWidth="1"/>
    <col min="7428" max="7428" width="13.33203125" style="2227" customWidth="1"/>
    <col min="7429" max="7429" width="8.5546875" style="2227" customWidth="1"/>
    <col min="7430" max="7430" width="13.33203125" style="2227" customWidth="1"/>
    <col min="7431" max="7431" width="8.5546875" style="2227" customWidth="1"/>
    <col min="7432" max="7681" width="9.109375" style="2227"/>
    <col min="7682" max="7682" width="13.33203125" style="2227" customWidth="1"/>
    <col min="7683" max="7683" width="8.5546875" style="2227" customWidth="1"/>
    <col min="7684" max="7684" width="13.33203125" style="2227" customWidth="1"/>
    <col min="7685" max="7685" width="8.5546875" style="2227" customWidth="1"/>
    <col min="7686" max="7686" width="13.33203125" style="2227" customWidth="1"/>
    <col min="7687" max="7687" width="8.5546875" style="2227" customWidth="1"/>
    <col min="7688" max="7937" width="9.109375" style="2227"/>
    <col min="7938" max="7938" width="13.33203125" style="2227" customWidth="1"/>
    <col min="7939" max="7939" width="8.5546875" style="2227" customWidth="1"/>
    <col min="7940" max="7940" width="13.33203125" style="2227" customWidth="1"/>
    <col min="7941" max="7941" width="8.5546875" style="2227" customWidth="1"/>
    <col min="7942" max="7942" width="13.33203125" style="2227" customWidth="1"/>
    <col min="7943" max="7943" width="8.5546875" style="2227" customWidth="1"/>
    <col min="7944" max="8193" width="9.109375" style="2227"/>
    <col min="8194" max="8194" width="13.33203125" style="2227" customWidth="1"/>
    <col min="8195" max="8195" width="8.5546875" style="2227" customWidth="1"/>
    <col min="8196" max="8196" width="13.33203125" style="2227" customWidth="1"/>
    <col min="8197" max="8197" width="8.5546875" style="2227" customWidth="1"/>
    <col min="8198" max="8198" width="13.33203125" style="2227" customWidth="1"/>
    <col min="8199" max="8199" width="8.5546875" style="2227" customWidth="1"/>
    <col min="8200" max="8449" width="9.109375" style="2227"/>
    <col min="8450" max="8450" width="13.33203125" style="2227" customWidth="1"/>
    <col min="8451" max="8451" width="8.5546875" style="2227" customWidth="1"/>
    <col min="8452" max="8452" width="13.33203125" style="2227" customWidth="1"/>
    <col min="8453" max="8453" width="8.5546875" style="2227" customWidth="1"/>
    <col min="8454" max="8454" width="13.33203125" style="2227" customWidth="1"/>
    <col min="8455" max="8455" width="8.5546875" style="2227" customWidth="1"/>
    <col min="8456" max="8705" width="9.109375" style="2227"/>
    <col min="8706" max="8706" width="13.33203125" style="2227" customWidth="1"/>
    <col min="8707" max="8707" width="8.5546875" style="2227" customWidth="1"/>
    <col min="8708" max="8708" width="13.33203125" style="2227" customWidth="1"/>
    <col min="8709" max="8709" width="8.5546875" style="2227" customWidth="1"/>
    <col min="8710" max="8710" width="13.33203125" style="2227" customWidth="1"/>
    <col min="8711" max="8711" width="8.5546875" style="2227" customWidth="1"/>
    <col min="8712" max="8961" width="9.109375" style="2227"/>
    <col min="8962" max="8962" width="13.33203125" style="2227" customWidth="1"/>
    <col min="8963" max="8963" width="8.5546875" style="2227" customWidth="1"/>
    <col min="8964" max="8964" width="13.33203125" style="2227" customWidth="1"/>
    <col min="8965" max="8965" width="8.5546875" style="2227" customWidth="1"/>
    <col min="8966" max="8966" width="13.33203125" style="2227" customWidth="1"/>
    <col min="8967" max="8967" width="8.5546875" style="2227" customWidth="1"/>
    <col min="8968" max="9217" width="9.109375" style="2227"/>
    <col min="9218" max="9218" width="13.33203125" style="2227" customWidth="1"/>
    <col min="9219" max="9219" width="8.5546875" style="2227" customWidth="1"/>
    <col min="9220" max="9220" width="13.33203125" style="2227" customWidth="1"/>
    <col min="9221" max="9221" width="8.5546875" style="2227" customWidth="1"/>
    <col min="9222" max="9222" width="13.33203125" style="2227" customWidth="1"/>
    <col min="9223" max="9223" width="8.5546875" style="2227" customWidth="1"/>
    <col min="9224" max="9473" width="9.109375" style="2227"/>
    <col min="9474" max="9474" width="13.33203125" style="2227" customWidth="1"/>
    <col min="9475" max="9475" width="8.5546875" style="2227" customWidth="1"/>
    <col min="9476" max="9476" width="13.33203125" style="2227" customWidth="1"/>
    <col min="9477" max="9477" width="8.5546875" style="2227" customWidth="1"/>
    <col min="9478" max="9478" width="13.33203125" style="2227" customWidth="1"/>
    <col min="9479" max="9479" width="8.5546875" style="2227" customWidth="1"/>
    <col min="9480" max="9729" width="9.109375" style="2227"/>
    <col min="9730" max="9730" width="13.33203125" style="2227" customWidth="1"/>
    <col min="9731" max="9731" width="8.5546875" style="2227" customWidth="1"/>
    <col min="9732" max="9732" width="13.33203125" style="2227" customWidth="1"/>
    <col min="9733" max="9733" width="8.5546875" style="2227" customWidth="1"/>
    <col min="9734" max="9734" width="13.33203125" style="2227" customWidth="1"/>
    <col min="9735" max="9735" width="8.5546875" style="2227" customWidth="1"/>
    <col min="9736" max="9985" width="9.109375" style="2227"/>
    <col min="9986" max="9986" width="13.33203125" style="2227" customWidth="1"/>
    <col min="9987" max="9987" width="8.5546875" style="2227" customWidth="1"/>
    <col min="9988" max="9988" width="13.33203125" style="2227" customWidth="1"/>
    <col min="9989" max="9989" width="8.5546875" style="2227" customWidth="1"/>
    <col min="9990" max="9990" width="13.33203125" style="2227" customWidth="1"/>
    <col min="9991" max="9991" width="8.5546875" style="2227" customWidth="1"/>
    <col min="9992" max="10241" width="9.109375" style="2227"/>
    <col min="10242" max="10242" width="13.33203125" style="2227" customWidth="1"/>
    <col min="10243" max="10243" width="8.5546875" style="2227" customWidth="1"/>
    <col min="10244" max="10244" width="13.33203125" style="2227" customWidth="1"/>
    <col min="10245" max="10245" width="8.5546875" style="2227" customWidth="1"/>
    <col min="10246" max="10246" width="13.33203125" style="2227" customWidth="1"/>
    <col min="10247" max="10247" width="8.5546875" style="2227" customWidth="1"/>
    <col min="10248" max="10497" width="9.109375" style="2227"/>
    <col min="10498" max="10498" width="13.33203125" style="2227" customWidth="1"/>
    <col min="10499" max="10499" width="8.5546875" style="2227" customWidth="1"/>
    <col min="10500" max="10500" width="13.33203125" style="2227" customWidth="1"/>
    <col min="10501" max="10501" width="8.5546875" style="2227" customWidth="1"/>
    <col min="10502" max="10502" width="13.33203125" style="2227" customWidth="1"/>
    <col min="10503" max="10503" width="8.5546875" style="2227" customWidth="1"/>
    <col min="10504" max="10753" width="9.109375" style="2227"/>
    <col min="10754" max="10754" width="13.33203125" style="2227" customWidth="1"/>
    <col min="10755" max="10755" width="8.5546875" style="2227" customWidth="1"/>
    <col min="10756" max="10756" width="13.33203125" style="2227" customWidth="1"/>
    <col min="10757" max="10757" width="8.5546875" style="2227" customWidth="1"/>
    <col min="10758" max="10758" width="13.33203125" style="2227" customWidth="1"/>
    <col min="10759" max="10759" width="8.5546875" style="2227" customWidth="1"/>
    <col min="10760" max="11009" width="9.109375" style="2227"/>
    <col min="11010" max="11010" width="13.33203125" style="2227" customWidth="1"/>
    <col min="11011" max="11011" width="8.5546875" style="2227" customWidth="1"/>
    <col min="11012" max="11012" width="13.33203125" style="2227" customWidth="1"/>
    <col min="11013" max="11013" width="8.5546875" style="2227" customWidth="1"/>
    <col min="11014" max="11014" width="13.33203125" style="2227" customWidth="1"/>
    <col min="11015" max="11015" width="8.5546875" style="2227" customWidth="1"/>
    <col min="11016" max="11265" width="9.109375" style="2227"/>
    <col min="11266" max="11266" width="13.33203125" style="2227" customWidth="1"/>
    <col min="11267" max="11267" width="8.5546875" style="2227" customWidth="1"/>
    <col min="11268" max="11268" width="13.33203125" style="2227" customWidth="1"/>
    <col min="11269" max="11269" width="8.5546875" style="2227" customWidth="1"/>
    <col min="11270" max="11270" width="13.33203125" style="2227" customWidth="1"/>
    <col min="11271" max="11271" width="8.5546875" style="2227" customWidth="1"/>
    <col min="11272" max="11521" width="9.109375" style="2227"/>
    <col min="11522" max="11522" width="13.33203125" style="2227" customWidth="1"/>
    <col min="11523" max="11523" width="8.5546875" style="2227" customWidth="1"/>
    <col min="11524" max="11524" width="13.33203125" style="2227" customWidth="1"/>
    <col min="11525" max="11525" width="8.5546875" style="2227" customWidth="1"/>
    <col min="11526" max="11526" width="13.33203125" style="2227" customWidth="1"/>
    <col min="11527" max="11527" width="8.5546875" style="2227" customWidth="1"/>
    <col min="11528" max="11777" width="9.109375" style="2227"/>
    <col min="11778" max="11778" width="13.33203125" style="2227" customWidth="1"/>
    <col min="11779" max="11779" width="8.5546875" style="2227" customWidth="1"/>
    <col min="11780" max="11780" width="13.33203125" style="2227" customWidth="1"/>
    <col min="11781" max="11781" width="8.5546875" style="2227" customWidth="1"/>
    <col min="11782" max="11782" width="13.33203125" style="2227" customWidth="1"/>
    <col min="11783" max="11783" width="8.5546875" style="2227" customWidth="1"/>
    <col min="11784" max="12033" width="9.109375" style="2227"/>
    <col min="12034" max="12034" width="13.33203125" style="2227" customWidth="1"/>
    <col min="12035" max="12035" width="8.5546875" style="2227" customWidth="1"/>
    <col min="12036" max="12036" width="13.33203125" style="2227" customWidth="1"/>
    <col min="12037" max="12037" width="8.5546875" style="2227" customWidth="1"/>
    <col min="12038" max="12038" width="13.33203125" style="2227" customWidth="1"/>
    <col min="12039" max="12039" width="8.5546875" style="2227" customWidth="1"/>
    <col min="12040" max="12289" width="9.109375" style="2227"/>
    <col min="12290" max="12290" width="13.33203125" style="2227" customWidth="1"/>
    <col min="12291" max="12291" width="8.5546875" style="2227" customWidth="1"/>
    <col min="12292" max="12292" width="13.33203125" style="2227" customWidth="1"/>
    <col min="12293" max="12293" width="8.5546875" style="2227" customWidth="1"/>
    <col min="12294" max="12294" width="13.33203125" style="2227" customWidth="1"/>
    <col min="12295" max="12295" width="8.5546875" style="2227" customWidth="1"/>
    <col min="12296" max="12545" width="9.109375" style="2227"/>
    <col min="12546" max="12546" width="13.33203125" style="2227" customWidth="1"/>
    <col min="12547" max="12547" width="8.5546875" style="2227" customWidth="1"/>
    <col min="12548" max="12548" width="13.33203125" style="2227" customWidth="1"/>
    <col min="12549" max="12549" width="8.5546875" style="2227" customWidth="1"/>
    <col min="12550" max="12550" width="13.33203125" style="2227" customWidth="1"/>
    <col min="12551" max="12551" width="8.5546875" style="2227" customWidth="1"/>
    <col min="12552" max="12801" width="9.109375" style="2227"/>
    <col min="12802" max="12802" width="13.33203125" style="2227" customWidth="1"/>
    <col min="12803" max="12803" width="8.5546875" style="2227" customWidth="1"/>
    <col min="12804" max="12804" width="13.33203125" style="2227" customWidth="1"/>
    <col min="12805" max="12805" width="8.5546875" style="2227" customWidth="1"/>
    <col min="12806" max="12806" width="13.33203125" style="2227" customWidth="1"/>
    <col min="12807" max="12807" width="8.5546875" style="2227" customWidth="1"/>
    <col min="12808" max="13057" width="9.109375" style="2227"/>
    <col min="13058" max="13058" width="13.33203125" style="2227" customWidth="1"/>
    <col min="13059" max="13059" width="8.5546875" style="2227" customWidth="1"/>
    <col min="13060" max="13060" width="13.33203125" style="2227" customWidth="1"/>
    <col min="13061" max="13061" width="8.5546875" style="2227" customWidth="1"/>
    <col min="13062" max="13062" width="13.33203125" style="2227" customWidth="1"/>
    <col min="13063" max="13063" width="8.5546875" style="2227" customWidth="1"/>
    <col min="13064" max="13313" width="9.109375" style="2227"/>
    <col min="13314" max="13314" width="13.33203125" style="2227" customWidth="1"/>
    <col min="13315" max="13315" width="8.5546875" style="2227" customWidth="1"/>
    <col min="13316" max="13316" width="13.33203125" style="2227" customWidth="1"/>
    <col min="13317" max="13317" width="8.5546875" style="2227" customWidth="1"/>
    <col min="13318" max="13318" width="13.33203125" style="2227" customWidth="1"/>
    <col min="13319" max="13319" width="8.5546875" style="2227" customWidth="1"/>
    <col min="13320" max="13569" width="9.109375" style="2227"/>
    <col min="13570" max="13570" width="13.33203125" style="2227" customWidth="1"/>
    <col min="13571" max="13571" width="8.5546875" style="2227" customWidth="1"/>
    <col min="13572" max="13572" width="13.33203125" style="2227" customWidth="1"/>
    <col min="13573" max="13573" width="8.5546875" style="2227" customWidth="1"/>
    <col min="13574" max="13574" width="13.33203125" style="2227" customWidth="1"/>
    <col min="13575" max="13575" width="8.5546875" style="2227" customWidth="1"/>
    <col min="13576" max="13825" width="9.109375" style="2227"/>
    <col min="13826" max="13826" width="13.33203125" style="2227" customWidth="1"/>
    <col min="13827" max="13827" width="8.5546875" style="2227" customWidth="1"/>
    <col min="13828" max="13828" width="13.33203125" style="2227" customWidth="1"/>
    <col min="13829" max="13829" width="8.5546875" style="2227" customWidth="1"/>
    <col min="13830" max="13830" width="13.33203125" style="2227" customWidth="1"/>
    <col min="13831" max="13831" width="8.5546875" style="2227" customWidth="1"/>
    <col min="13832" max="14081" width="9.109375" style="2227"/>
    <col min="14082" max="14082" width="13.33203125" style="2227" customWidth="1"/>
    <col min="14083" max="14083" width="8.5546875" style="2227" customWidth="1"/>
    <col min="14084" max="14084" width="13.33203125" style="2227" customWidth="1"/>
    <col min="14085" max="14085" width="8.5546875" style="2227" customWidth="1"/>
    <col min="14086" max="14086" width="13.33203125" style="2227" customWidth="1"/>
    <col min="14087" max="14087" width="8.5546875" style="2227" customWidth="1"/>
    <col min="14088" max="14337" width="9.109375" style="2227"/>
    <col min="14338" max="14338" width="13.33203125" style="2227" customWidth="1"/>
    <col min="14339" max="14339" width="8.5546875" style="2227" customWidth="1"/>
    <col min="14340" max="14340" width="13.33203125" style="2227" customWidth="1"/>
    <col min="14341" max="14341" width="8.5546875" style="2227" customWidth="1"/>
    <col min="14342" max="14342" width="13.33203125" style="2227" customWidth="1"/>
    <col min="14343" max="14343" width="8.5546875" style="2227" customWidth="1"/>
    <col min="14344" max="14593" width="9.109375" style="2227"/>
    <col min="14594" max="14594" width="13.33203125" style="2227" customWidth="1"/>
    <col min="14595" max="14595" width="8.5546875" style="2227" customWidth="1"/>
    <col min="14596" max="14596" width="13.33203125" style="2227" customWidth="1"/>
    <col min="14597" max="14597" width="8.5546875" style="2227" customWidth="1"/>
    <col min="14598" max="14598" width="13.33203125" style="2227" customWidth="1"/>
    <col min="14599" max="14599" width="8.5546875" style="2227" customWidth="1"/>
    <col min="14600" max="14849" width="9.109375" style="2227"/>
    <col min="14850" max="14850" width="13.33203125" style="2227" customWidth="1"/>
    <col min="14851" max="14851" width="8.5546875" style="2227" customWidth="1"/>
    <col min="14852" max="14852" width="13.33203125" style="2227" customWidth="1"/>
    <col min="14853" max="14853" width="8.5546875" style="2227" customWidth="1"/>
    <col min="14854" max="14854" width="13.33203125" style="2227" customWidth="1"/>
    <col min="14855" max="14855" width="8.5546875" style="2227" customWidth="1"/>
    <col min="14856" max="15105" width="9.109375" style="2227"/>
    <col min="15106" max="15106" width="13.33203125" style="2227" customWidth="1"/>
    <col min="15107" max="15107" width="8.5546875" style="2227" customWidth="1"/>
    <col min="15108" max="15108" width="13.33203125" style="2227" customWidth="1"/>
    <col min="15109" max="15109" width="8.5546875" style="2227" customWidth="1"/>
    <col min="15110" max="15110" width="13.33203125" style="2227" customWidth="1"/>
    <col min="15111" max="15111" width="8.5546875" style="2227" customWidth="1"/>
    <col min="15112" max="15361" width="9.109375" style="2227"/>
    <col min="15362" max="15362" width="13.33203125" style="2227" customWidth="1"/>
    <col min="15363" max="15363" width="8.5546875" style="2227" customWidth="1"/>
    <col min="15364" max="15364" width="13.33203125" style="2227" customWidth="1"/>
    <col min="15365" max="15365" width="8.5546875" style="2227" customWidth="1"/>
    <col min="15366" max="15366" width="13.33203125" style="2227" customWidth="1"/>
    <col min="15367" max="15367" width="8.5546875" style="2227" customWidth="1"/>
    <col min="15368" max="15617" width="9.109375" style="2227"/>
    <col min="15618" max="15618" width="13.33203125" style="2227" customWidth="1"/>
    <col min="15619" max="15619" width="8.5546875" style="2227" customWidth="1"/>
    <col min="15620" max="15620" width="13.33203125" style="2227" customWidth="1"/>
    <col min="15621" max="15621" width="8.5546875" style="2227" customWidth="1"/>
    <col min="15622" max="15622" width="13.33203125" style="2227" customWidth="1"/>
    <col min="15623" max="15623" width="8.5546875" style="2227" customWidth="1"/>
    <col min="15624" max="15873" width="9.109375" style="2227"/>
    <col min="15874" max="15874" width="13.33203125" style="2227" customWidth="1"/>
    <col min="15875" max="15875" width="8.5546875" style="2227" customWidth="1"/>
    <col min="15876" max="15876" width="13.33203125" style="2227" customWidth="1"/>
    <col min="15877" max="15877" width="8.5546875" style="2227" customWidth="1"/>
    <col min="15878" max="15878" width="13.33203125" style="2227" customWidth="1"/>
    <col min="15879" max="15879" width="8.5546875" style="2227" customWidth="1"/>
    <col min="15880" max="16129" width="9.109375" style="2227"/>
    <col min="16130" max="16130" width="13.33203125" style="2227" customWidth="1"/>
    <col min="16131" max="16131" width="8.5546875" style="2227" customWidth="1"/>
    <col min="16132" max="16132" width="13.33203125" style="2227" customWidth="1"/>
    <col min="16133" max="16133" width="8.5546875" style="2227" customWidth="1"/>
    <col min="16134" max="16134" width="13.33203125" style="2227" customWidth="1"/>
    <col min="16135" max="16135" width="8.5546875" style="2227" customWidth="1"/>
    <col min="16136" max="16384" width="9.109375" style="2227"/>
  </cols>
  <sheetData>
    <row r="1" spans="1:17" ht="15.6">
      <c r="A1" s="2224" t="s">
        <v>1236</v>
      </c>
      <c r="B1" s="2224"/>
      <c r="C1" s="2225"/>
      <c r="D1" s="2224"/>
      <c r="E1" s="2224"/>
      <c r="F1" s="2224"/>
      <c r="G1" s="2224"/>
      <c r="H1" s="2226"/>
      <c r="I1" s="2226"/>
      <c r="J1" s="2226"/>
      <c r="K1" s="2226"/>
      <c r="L1" s="2226"/>
      <c r="M1" s="2226"/>
      <c r="N1" s="2226"/>
      <c r="O1" s="2226"/>
      <c r="P1" s="2226"/>
      <c r="Q1" s="2226"/>
    </row>
    <row r="2" spans="1:17" ht="18.75" customHeight="1">
      <c r="A2" s="2224" t="s">
        <v>1237</v>
      </c>
      <c r="B2" s="2224"/>
      <c r="C2" s="2225"/>
      <c r="D2" s="2224"/>
      <c r="E2" s="2224"/>
      <c r="F2" s="2224"/>
      <c r="G2" s="2224"/>
      <c r="H2" s="2226"/>
      <c r="I2" s="2226"/>
      <c r="J2" s="2226"/>
      <c r="K2" s="2226"/>
      <c r="L2" s="2226"/>
      <c r="M2" s="2226"/>
      <c r="N2" s="2226"/>
      <c r="O2" s="2226"/>
      <c r="P2" s="2226"/>
      <c r="Q2" s="2226"/>
    </row>
    <row r="3" spans="1:17" ht="52.5" hidden="1" customHeight="1" outlineLevel="1">
      <c r="A3" s="2226"/>
      <c r="B3" s="2226"/>
      <c r="C3" s="2228"/>
      <c r="D3" s="2226"/>
      <c r="E3" s="2226"/>
      <c r="F3" s="2226"/>
      <c r="G3" s="2226"/>
      <c r="H3" s="2226"/>
      <c r="I3" s="2226"/>
      <c r="J3" s="2226"/>
      <c r="K3" s="2226"/>
      <c r="L3" s="2229" t="s">
        <v>1357</v>
      </c>
      <c r="M3" s="2226"/>
      <c r="N3" s="2226"/>
      <c r="O3" s="2226"/>
      <c r="P3" s="2226"/>
      <c r="Q3" s="2226"/>
    </row>
    <row r="4" spans="1:17" s="2234" customFormat="1" ht="15.6" hidden="1" outlineLevel="1">
      <c r="A4" s="2230" t="s">
        <v>268</v>
      </c>
      <c r="B4" s="2231"/>
      <c r="C4" s="2232"/>
      <c r="D4" s="2231"/>
      <c r="E4" s="2231"/>
      <c r="F4" s="2233"/>
      <c r="G4" s="2231"/>
      <c r="N4" s="2235"/>
      <c r="O4" s="2235"/>
      <c r="P4" s="2235"/>
    </row>
    <row r="5" spans="1:17" s="2234" customFormat="1" ht="15.75" hidden="1" customHeight="1" outlineLevel="1">
      <c r="A5" s="3069" t="s">
        <v>1238</v>
      </c>
      <c r="B5" s="2236" t="s">
        <v>1239</v>
      </c>
      <c r="C5" s="2237"/>
      <c r="D5" s="2238"/>
      <c r="E5" s="2236"/>
      <c r="F5" s="2236" t="s">
        <v>1240</v>
      </c>
      <c r="G5" s="2236"/>
      <c r="H5" s="3069" t="s">
        <v>336</v>
      </c>
      <c r="O5" s="2235"/>
      <c r="P5" s="2235"/>
      <c r="Q5" s="2235"/>
    </row>
    <row r="6" spans="1:17" s="2234" customFormat="1" ht="69" hidden="1" customHeight="1" outlineLevel="1">
      <c r="A6" s="3070"/>
      <c r="B6" s="2239" t="s">
        <v>338</v>
      </c>
      <c r="C6" s="2240" t="s">
        <v>1241</v>
      </c>
      <c r="D6" s="2239" t="s">
        <v>385</v>
      </c>
      <c r="E6" s="2241" t="s">
        <v>1241</v>
      </c>
      <c r="F6" s="2242" t="s">
        <v>340</v>
      </c>
      <c r="G6" s="2241" t="s">
        <v>1241</v>
      </c>
      <c r="H6" s="3071"/>
      <c r="N6" s="2235"/>
    </row>
    <row r="7" spans="1:17" s="2234" customFormat="1" ht="15.6" hidden="1" outlineLevel="1">
      <c r="A7" s="3070"/>
      <c r="B7" s="2243" t="s">
        <v>1242</v>
      </c>
      <c r="C7" s="2244" t="s">
        <v>87</v>
      </c>
      <c r="D7" s="2243" t="s">
        <v>1243</v>
      </c>
      <c r="E7" s="2245" t="s">
        <v>87</v>
      </c>
      <c r="F7" s="2242"/>
      <c r="G7" s="2245" t="s">
        <v>87</v>
      </c>
      <c r="H7" s="2243" t="s">
        <v>450</v>
      </c>
      <c r="O7" s="2235"/>
      <c r="P7" s="2235"/>
      <c r="Q7" s="2235"/>
    </row>
    <row r="8" spans="1:17" s="2235" customFormat="1" ht="15.6" hidden="1" outlineLevel="1">
      <c r="A8" s="3071"/>
      <c r="B8" s="2246" t="s">
        <v>99</v>
      </c>
      <c r="C8" s="2247"/>
      <c r="D8" s="2246" t="s">
        <v>344</v>
      </c>
      <c r="E8" s="2247"/>
      <c r="F8" s="2246" t="s">
        <v>344</v>
      </c>
      <c r="G8" s="2247"/>
      <c r="H8" s="2246" t="s">
        <v>1244</v>
      </c>
    </row>
    <row r="9" spans="1:17" s="2235" customFormat="1" ht="15.6" hidden="1" outlineLevel="1">
      <c r="A9" s="2248" t="s">
        <v>292</v>
      </c>
      <c r="B9" s="2249">
        <v>124404</v>
      </c>
      <c r="C9" s="2247"/>
      <c r="D9" s="2249">
        <v>228.06</v>
      </c>
      <c r="E9" s="2247"/>
      <c r="F9" s="2249">
        <v>433</v>
      </c>
      <c r="G9" s="2247"/>
      <c r="H9" s="2250">
        <f>(B9*12/(F9-D9))</f>
        <v>7284.3173611788816</v>
      </c>
    </row>
    <row r="10" spans="1:17" s="2235" customFormat="1" ht="15.6" hidden="1" outlineLevel="1">
      <c r="A10" s="2248" t="s">
        <v>276</v>
      </c>
      <c r="B10" s="2249">
        <v>166069</v>
      </c>
      <c r="C10" s="2247"/>
      <c r="D10" s="2249">
        <v>749.32</v>
      </c>
      <c r="E10" s="2247"/>
      <c r="F10" s="2249">
        <v>1022.95</v>
      </c>
      <c r="G10" s="2247"/>
      <c r="H10" s="2250">
        <f>(B10*12/(F10-D10))</f>
        <v>7282.9295033439321</v>
      </c>
    </row>
    <row r="11" spans="1:17" s="2235" customFormat="1" ht="15.6" hidden="1" outlineLevel="1">
      <c r="A11" s="2248" t="s">
        <v>348</v>
      </c>
      <c r="B11" s="2249">
        <v>417747</v>
      </c>
      <c r="C11" s="2247"/>
      <c r="D11" s="2249">
        <v>810.58</v>
      </c>
      <c r="E11" s="2247"/>
      <c r="F11" s="2249">
        <v>1498.78</v>
      </c>
      <c r="G11" s="2247"/>
      <c r="H11" s="2250">
        <f>(B11*12/(F11-D11))</f>
        <v>7284.167393199652</v>
      </c>
    </row>
    <row r="12" spans="1:17" s="2235" customFormat="1" ht="15.6" hidden="1" outlineLevel="1">
      <c r="A12" s="2248" t="s">
        <v>280</v>
      </c>
      <c r="B12" s="2249">
        <v>481133</v>
      </c>
      <c r="C12" s="2247"/>
      <c r="D12" s="2249">
        <v>1074.45</v>
      </c>
      <c r="E12" s="2247"/>
      <c r="F12" s="2249">
        <v>1903</v>
      </c>
      <c r="G12" s="2247"/>
      <c r="H12" s="2250">
        <f>(B12*12/(F12-D12))</f>
        <v>6968.3133184478911</v>
      </c>
    </row>
    <row r="13" spans="1:17" s="2235" customFormat="1" ht="21.75" hidden="1" customHeight="1" outlineLevel="1">
      <c r="A13" s="2248" t="s">
        <v>449</v>
      </c>
      <c r="B13" s="2249"/>
      <c r="C13" s="2247"/>
      <c r="D13" s="2249"/>
      <c r="E13" s="2247"/>
      <c r="F13" s="2249"/>
      <c r="G13" s="2247"/>
      <c r="H13" s="2250" t="e">
        <f>(B13*12/(F13-D13))</f>
        <v>#DIV/0!</v>
      </c>
    </row>
    <row r="14" spans="1:17" s="2235" customFormat="1" ht="21.75" hidden="1" customHeight="1" outlineLevel="1">
      <c r="A14" s="2251"/>
      <c r="B14" s="2252"/>
      <c r="C14" s="2253"/>
      <c r="D14" s="2252"/>
      <c r="E14" s="2253"/>
      <c r="F14" s="2252"/>
      <c r="G14" s="2253"/>
      <c r="H14" s="2254"/>
    </row>
    <row r="15" spans="1:17" s="2234" customFormat="1" ht="15.6" hidden="1" outlineLevel="1">
      <c r="A15" s="2230" t="s">
        <v>269</v>
      </c>
      <c r="B15" s="2231"/>
      <c r="C15" s="2232"/>
      <c r="D15" s="2231"/>
      <c r="E15" s="2231"/>
      <c r="F15" s="2233"/>
      <c r="G15" s="2231"/>
      <c r="N15" s="2235"/>
      <c r="O15" s="2235"/>
      <c r="P15" s="2235"/>
    </row>
    <row r="16" spans="1:17" s="2234" customFormat="1" ht="15.75" hidden="1" customHeight="1" outlineLevel="1" collapsed="1">
      <c r="A16" s="3069" t="s">
        <v>1238</v>
      </c>
      <c r="B16" s="2236" t="s">
        <v>1239</v>
      </c>
      <c r="C16" s="2237"/>
      <c r="D16" s="2238"/>
      <c r="E16" s="2236"/>
      <c r="F16" s="2236" t="s">
        <v>1240</v>
      </c>
      <c r="G16" s="2236"/>
      <c r="H16" s="3069" t="s">
        <v>336</v>
      </c>
      <c r="O16" s="2235"/>
      <c r="P16" s="2235"/>
      <c r="Q16" s="2235"/>
    </row>
    <row r="17" spans="1:17" s="2234" customFormat="1" ht="69" hidden="1" customHeight="1" outlineLevel="1">
      <c r="A17" s="3070"/>
      <c r="B17" s="2239" t="s">
        <v>338</v>
      </c>
      <c r="C17" s="2240" t="s">
        <v>1241</v>
      </c>
      <c r="D17" s="2239" t="s">
        <v>385</v>
      </c>
      <c r="E17" s="2241" t="s">
        <v>1241</v>
      </c>
      <c r="F17" s="2242" t="s">
        <v>340</v>
      </c>
      <c r="G17" s="2241" t="s">
        <v>1241</v>
      </c>
      <c r="H17" s="3071"/>
      <c r="N17" s="2235"/>
    </row>
    <row r="18" spans="1:17" s="2234" customFormat="1" ht="15.6" hidden="1" outlineLevel="1">
      <c r="A18" s="3070"/>
      <c r="B18" s="2243" t="s">
        <v>1242</v>
      </c>
      <c r="C18" s="2244" t="s">
        <v>87</v>
      </c>
      <c r="D18" s="2243" t="s">
        <v>1243</v>
      </c>
      <c r="E18" s="2245" t="s">
        <v>87</v>
      </c>
      <c r="F18" s="2242"/>
      <c r="G18" s="2245" t="s">
        <v>87</v>
      </c>
      <c r="H18" s="2243" t="s">
        <v>450</v>
      </c>
      <c r="O18" s="2235"/>
      <c r="P18" s="2235"/>
      <c r="Q18" s="2235"/>
    </row>
    <row r="19" spans="1:17" s="2235" customFormat="1" ht="15.6" hidden="1" outlineLevel="1">
      <c r="A19" s="3071"/>
      <c r="B19" s="2246" t="s">
        <v>99</v>
      </c>
      <c r="C19" s="2247"/>
      <c r="D19" s="2246" t="s">
        <v>344</v>
      </c>
      <c r="E19" s="2247"/>
      <c r="F19" s="2246" t="s">
        <v>344</v>
      </c>
      <c r="G19" s="2247"/>
      <c r="H19" s="2246" t="s">
        <v>1244</v>
      </c>
    </row>
    <row r="20" spans="1:17" s="2235" customFormat="1" ht="15.6" hidden="1" outlineLevel="1">
      <c r="A20" s="2248" t="s">
        <v>292</v>
      </c>
      <c r="B20" s="2249">
        <v>300621.82</v>
      </c>
      <c r="C20" s="2247">
        <f>B20/B9-1</f>
        <v>1.4164964149062733</v>
      </c>
      <c r="D20" s="2249">
        <v>176.8</v>
      </c>
      <c r="E20" s="2247">
        <f>D20/D9-1</f>
        <v>-0.22476541261071648</v>
      </c>
      <c r="F20" s="2249">
        <v>592.41</v>
      </c>
      <c r="G20" s="2247">
        <f>F20/F9-1</f>
        <v>0.36815242494226319</v>
      </c>
      <c r="H20" s="2250">
        <f>(B20*12/(F20-D20))</f>
        <v>8679.9206948822211</v>
      </c>
    </row>
    <row r="21" spans="1:17" s="2235" customFormat="1" ht="15.6" hidden="1" outlineLevel="1">
      <c r="A21" s="2248" t="s">
        <v>276</v>
      </c>
      <c r="B21" s="2249">
        <v>490793.23</v>
      </c>
      <c r="C21" s="2247">
        <f>B21/B10-1</f>
        <v>1.9553572912464094</v>
      </c>
      <c r="D21" s="2249">
        <v>180</v>
      </c>
      <c r="E21" s="2247">
        <f>D21/D10-1</f>
        <v>-0.75978220253029416</v>
      </c>
      <c r="F21" s="2249">
        <v>969.48</v>
      </c>
      <c r="G21" s="2247">
        <f>F21/F10-1</f>
        <v>-5.2270394447431423E-2</v>
      </c>
      <c r="H21" s="2250">
        <f>(B21*12/(F21-D21))</f>
        <v>7459.9974160206712</v>
      </c>
    </row>
    <row r="22" spans="1:17" s="2235" customFormat="1" ht="15.6" hidden="1" outlineLevel="1">
      <c r="A22" s="2248" t="s">
        <v>348</v>
      </c>
      <c r="B22" s="2249">
        <v>680321</v>
      </c>
      <c r="C22" s="2247">
        <f>B22/B11-1</f>
        <v>0.6285479010022812</v>
      </c>
      <c r="D22" s="2249">
        <v>210</v>
      </c>
      <c r="E22" s="2247">
        <f>D22/D11-1</f>
        <v>-0.74092625033926329</v>
      </c>
      <c r="F22" s="2249">
        <v>1441.35</v>
      </c>
      <c r="G22" s="2247">
        <f>F22/F11-1</f>
        <v>-3.8317831836560456E-2</v>
      </c>
      <c r="H22" s="2250">
        <f>(B22*12/(F22-D22))</f>
        <v>6630.0012181751745</v>
      </c>
    </row>
    <row r="23" spans="1:17" s="2235" customFormat="1" ht="15.6" hidden="1" outlineLevel="1">
      <c r="A23" s="2248" t="s">
        <v>280</v>
      </c>
      <c r="B23" s="2249">
        <v>851305.82</v>
      </c>
      <c r="C23" s="2247">
        <f>B23/B12-1</f>
        <v>0.76937732394161262</v>
      </c>
      <c r="D23" s="2249">
        <v>432</v>
      </c>
      <c r="E23" s="2247">
        <f>D23/D12-1</f>
        <v>-0.59793382660896266</v>
      </c>
      <c r="F23" s="2249">
        <v>2296.17</v>
      </c>
      <c r="G23" s="2247">
        <f>F23/F12-1</f>
        <v>0.20660535995796114</v>
      </c>
      <c r="H23" s="2250">
        <f>(B23*12/(F23-D23))</f>
        <v>5480.0097845153605</v>
      </c>
    </row>
    <row r="24" spans="1:17" s="2235" customFormat="1" ht="21.75" hidden="1" customHeight="1" outlineLevel="1">
      <c r="A24" s="2248" t="s">
        <v>449</v>
      </c>
      <c r="B24" s="2249">
        <v>116581.82</v>
      </c>
      <c r="C24" s="2247"/>
      <c r="D24" s="2249">
        <v>162.69999999999999</v>
      </c>
      <c r="E24" s="2247"/>
      <c r="F24" s="2249">
        <v>380.24</v>
      </c>
      <c r="G24" s="2247"/>
      <c r="H24" s="2250">
        <f>(B24*12/(F24-D24))</f>
        <v>6430.9177162820624</v>
      </c>
    </row>
    <row r="25" spans="1:17" s="2235" customFormat="1" ht="21.75" hidden="1" customHeight="1" collapsed="1">
      <c r="A25" s="2251"/>
      <c r="B25" s="2252"/>
      <c r="C25" s="2253"/>
      <c r="D25" s="2252"/>
      <c r="E25" s="2252"/>
      <c r="F25" s="2255" t="s">
        <v>1245</v>
      </c>
      <c r="G25" s="2252"/>
      <c r="H25" s="2254"/>
    </row>
    <row r="26" spans="1:17" s="2234" customFormat="1" ht="15.6" hidden="1">
      <c r="A26" s="2256" t="s">
        <v>607</v>
      </c>
      <c r="B26" s="2257"/>
      <c r="C26" s="2258"/>
      <c r="D26" s="2257"/>
      <c r="E26" s="2257"/>
      <c r="F26" s="2259"/>
      <c r="G26" s="2257"/>
      <c r="H26" s="2260"/>
      <c r="J26" s="2261" t="s">
        <v>1246</v>
      </c>
      <c r="K26" s="2261"/>
      <c r="N26" s="2235"/>
      <c r="O26" s="2235"/>
      <c r="P26" s="2235"/>
    </row>
    <row r="27" spans="1:17" s="2234" customFormat="1" ht="15.75" hidden="1" customHeight="1">
      <c r="A27" s="3072" t="s">
        <v>1238</v>
      </c>
      <c r="B27" s="2262" t="s">
        <v>1239</v>
      </c>
      <c r="C27" s="2263"/>
      <c r="D27" s="2264"/>
      <c r="E27" s="2262"/>
      <c r="F27" s="2262" t="s">
        <v>1240</v>
      </c>
      <c r="G27" s="2262"/>
      <c r="H27" s="3072" t="s">
        <v>336</v>
      </c>
      <c r="O27" s="2235"/>
      <c r="P27" s="2235"/>
      <c r="Q27" s="2235"/>
    </row>
    <row r="28" spans="1:17" s="2234" customFormat="1" ht="69" hidden="1" customHeight="1">
      <c r="A28" s="2909"/>
      <c r="B28" s="2265" t="s">
        <v>338</v>
      </c>
      <c r="C28" s="2266" t="s">
        <v>1241</v>
      </c>
      <c r="D28" s="2265" t="s">
        <v>385</v>
      </c>
      <c r="E28" s="2267" t="s">
        <v>1241</v>
      </c>
      <c r="F28" s="2268" t="s">
        <v>340</v>
      </c>
      <c r="G28" s="2267" t="s">
        <v>1241</v>
      </c>
      <c r="H28" s="2909"/>
      <c r="J28" s="2269" t="s">
        <v>1247</v>
      </c>
      <c r="K28" s="2269"/>
      <c r="L28" s="2269"/>
      <c r="N28" s="2235"/>
    </row>
    <row r="29" spans="1:17" s="2234" customFormat="1" ht="15.6" hidden="1">
      <c r="A29" s="2909"/>
      <c r="B29" s="2270" t="s">
        <v>1242</v>
      </c>
      <c r="C29" s="2271" t="s">
        <v>87</v>
      </c>
      <c r="D29" s="2270" t="s">
        <v>1243</v>
      </c>
      <c r="E29" s="2268" t="s">
        <v>87</v>
      </c>
      <c r="F29" s="2268"/>
      <c r="G29" s="2268" t="s">
        <v>87</v>
      </c>
      <c r="H29" s="2270" t="s">
        <v>1270</v>
      </c>
      <c r="J29" s="2272" t="s">
        <v>1248</v>
      </c>
      <c r="K29" s="2272"/>
      <c r="L29" s="2273" t="s">
        <v>1249</v>
      </c>
      <c r="O29" s="2235"/>
      <c r="P29" s="2235"/>
      <c r="Q29" s="2235"/>
    </row>
    <row r="30" spans="1:17" s="2234" customFormat="1" ht="15.6" hidden="1">
      <c r="A30" s="2909"/>
      <c r="B30" s="2268" t="s">
        <v>99</v>
      </c>
      <c r="C30" s="2271"/>
      <c r="D30" s="2268" t="s">
        <v>344</v>
      </c>
      <c r="E30" s="2268"/>
      <c r="F30" s="2268" t="s">
        <v>344</v>
      </c>
      <c r="G30" s="2268"/>
      <c r="H30" s="2268" t="s">
        <v>1244</v>
      </c>
      <c r="J30" s="2274" t="s">
        <v>1250</v>
      </c>
      <c r="K30" s="2275" t="s">
        <v>1251</v>
      </c>
      <c r="L30" s="2276"/>
      <c r="O30" s="2235"/>
      <c r="P30" s="2235"/>
      <c r="Q30" s="2235"/>
    </row>
    <row r="31" spans="1:17" s="2234" customFormat="1" ht="15.6" hidden="1">
      <c r="A31" s="2265" t="s">
        <v>292</v>
      </c>
      <c r="B31" s="2277">
        <v>364484.63</v>
      </c>
      <c r="C31" s="2278">
        <f>B31/B20-1</f>
        <v>0.2124357107544621</v>
      </c>
      <c r="D31" s="2277">
        <v>151.36000000000001</v>
      </c>
      <c r="E31" s="2278">
        <f>D31/D20-1</f>
        <v>-0.14389140271493206</v>
      </c>
      <c r="F31" s="2277">
        <v>671</v>
      </c>
      <c r="G31" s="2278">
        <f>F31/F20-1</f>
        <v>0.1326615013250958</v>
      </c>
      <c r="H31" s="2279">
        <f>(B31*12/(F31-D31))</f>
        <v>8417.0109306442937</v>
      </c>
      <c r="J31" s="2280">
        <f>B31/B9-1</f>
        <v>1.9298465483424971</v>
      </c>
      <c r="K31" s="2280">
        <f>D31/D9-1</f>
        <v>-0.33631500482329202</v>
      </c>
      <c r="L31" s="2280">
        <f>F31/F9-1</f>
        <v>0.54965357967667439</v>
      </c>
      <c r="N31" s="2280">
        <v>0.21461487820934821</v>
      </c>
      <c r="O31" s="2235"/>
      <c r="P31" s="2235"/>
      <c r="Q31" s="2235"/>
    </row>
    <row r="32" spans="1:17" s="2234" customFormat="1" ht="15.6" hidden="1">
      <c r="A32" s="2265" t="s">
        <v>276</v>
      </c>
      <c r="B32" s="2277">
        <v>684381.17</v>
      </c>
      <c r="C32" s="2278">
        <f>B32/B21-1</f>
        <v>0.3944388963963501</v>
      </c>
      <c r="D32" s="2277">
        <v>162.12</v>
      </c>
      <c r="E32" s="2278">
        <f>D32/D21-1</f>
        <v>-9.9333333333333274E-2</v>
      </c>
      <c r="F32" s="2277">
        <v>1153.6500000000001</v>
      </c>
      <c r="G32" s="2278">
        <f>F32/F21-1</f>
        <v>0.18996781779923255</v>
      </c>
      <c r="H32" s="2279">
        <f>(B32*12/(F32-D32))</f>
        <v>8282.7287525339634</v>
      </c>
      <c r="J32" s="2280">
        <f>B32/B10-1</f>
        <v>3.1210651596625505</v>
      </c>
      <c r="K32" s="2280">
        <f>D32/D10-1</f>
        <v>-0.78364383707895158</v>
      </c>
      <c r="L32" s="2280">
        <f>F32/F10-1</f>
        <v>0.12776773058311752</v>
      </c>
      <c r="N32" s="2280">
        <v>0.24512109584519526</v>
      </c>
      <c r="O32" s="2235"/>
      <c r="P32" s="2235"/>
      <c r="Q32" s="2235"/>
    </row>
    <row r="33" spans="1:17" s="2234" customFormat="1" ht="15.6" hidden="1">
      <c r="A33" s="2265" t="s">
        <v>348</v>
      </c>
      <c r="B33" s="2277">
        <v>942948.34</v>
      </c>
      <c r="C33" s="2278">
        <f>B33/B22-1</f>
        <v>0.38603444550440158</v>
      </c>
      <c r="D33" s="2281"/>
      <c r="E33" s="2247"/>
      <c r="F33" s="2281"/>
      <c r="G33" s="2247"/>
      <c r="H33" s="2282"/>
      <c r="I33" s="2283"/>
      <c r="J33" s="2280">
        <f>B33/B11-1</f>
        <v>1.2572234869430541</v>
      </c>
      <c r="K33" s="2280">
        <f>D33/D11-1</f>
        <v>-1</v>
      </c>
      <c r="L33" s="2280">
        <f>F33/F11-1</f>
        <v>-1</v>
      </c>
      <c r="N33" s="2280">
        <v>0.35747736497034044</v>
      </c>
      <c r="O33" s="2235"/>
      <c r="P33" s="2235"/>
      <c r="Q33" s="2235"/>
    </row>
    <row r="34" spans="1:17" s="2234" customFormat="1" ht="15.6" hidden="1">
      <c r="A34" s="2265" t="s">
        <v>280</v>
      </c>
      <c r="B34" s="2277">
        <v>1640145.12</v>
      </c>
      <c r="C34" s="2278">
        <f>B34/B23-1</f>
        <v>0.92662270299056604</v>
      </c>
      <c r="D34" s="2277">
        <v>472.06</v>
      </c>
      <c r="E34" s="2278">
        <f>D34/D23-1</f>
        <v>9.273148148148147E-2</v>
      </c>
      <c r="F34" s="2277">
        <v>2747.68</v>
      </c>
      <c r="G34" s="2278">
        <f>F34/F23-1</f>
        <v>0.1966361375682113</v>
      </c>
      <c r="H34" s="2279">
        <f>(B34*12/(F34-D34))</f>
        <v>8648.9578400611717</v>
      </c>
      <c r="J34" s="2280">
        <f>B34/B12-1</f>
        <v>2.4089225224626043</v>
      </c>
      <c r="K34" s="2280">
        <f>D34/D12-1</f>
        <v>-0.56064963469682172</v>
      </c>
      <c r="L34" s="2280">
        <f>F34/F12-1</f>
        <v>0.44386757750919581</v>
      </c>
      <c r="N34" s="2280">
        <v>0.32037262049412729</v>
      </c>
      <c r="O34" s="2235"/>
      <c r="P34" s="2235"/>
      <c r="Q34" s="2235"/>
    </row>
    <row r="35" spans="1:17" s="2234" customFormat="1" ht="21.75" hidden="1" customHeight="1">
      <c r="A35" s="2265" t="s">
        <v>449</v>
      </c>
      <c r="B35" s="2277">
        <v>133702.84</v>
      </c>
      <c r="C35" s="2278">
        <f>B35/B24-1</f>
        <v>0.14685840382316884</v>
      </c>
      <c r="D35" s="2277">
        <v>150</v>
      </c>
      <c r="E35" s="2278">
        <f>D35/D24-1</f>
        <v>-7.8057775046097011E-2</v>
      </c>
      <c r="F35" s="2277">
        <v>437.28</v>
      </c>
      <c r="G35" s="2278">
        <f>F35/F24-1</f>
        <v>0.15001051967178625</v>
      </c>
      <c r="H35" s="2279">
        <f>(B35*12/(F35-D35))</f>
        <v>5584.9139515455308</v>
      </c>
      <c r="J35" s="2269"/>
      <c r="K35" s="2269"/>
      <c r="L35" s="2269"/>
      <c r="N35" s="2280">
        <v>-0.3810225120976225</v>
      </c>
      <c r="O35" s="2235"/>
      <c r="P35" s="2235"/>
      <c r="Q35" s="2235"/>
    </row>
    <row r="36" spans="1:17" hidden="1"/>
    <row r="37" spans="1:17" hidden="1">
      <c r="A37" s="2256" t="s">
        <v>730</v>
      </c>
      <c r="B37" s="2257"/>
      <c r="C37" s="2258"/>
      <c r="D37" s="2257"/>
      <c r="E37" s="2257"/>
      <c r="F37" s="2259"/>
      <c r="G37" s="2257"/>
      <c r="H37" s="2285"/>
    </row>
    <row r="38" spans="1:17" ht="18.75" hidden="1" customHeight="1">
      <c r="A38" s="3072" t="s">
        <v>1238</v>
      </c>
      <c r="B38" s="2262" t="s">
        <v>1239</v>
      </c>
      <c r="C38" s="2263"/>
      <c r="D38" s="2262"/>
      <c r="E38" s="2262"/>
      <c r="F38" s="2262" t="s">
        <v>1240</v>
      </c>
      <c r="G38" s="2262"/>
      <c r="H38" s="3072" t="s">
        <v>336</v>
      </c>
    </row>
    <row r="39" spans="1:17" ht="66" hidden="1">
      <c r="A39" s="2909"/>
      <c r="B39" s="2265" t="s">
        <v>338</v>
      </c>
      <c r="C39" s="2266" t="s">
        <v>1241</v>
      </c>
      <c r="D39" s="2265" t="s">
        <v>385</v>
      </c>
      <c r="E39" s="2267" t="s">
        <v>1241</v>
      </c>
      <c r="F39" s="2268" t="s">
        <v>340</v>
      </c>
      <c r="G39" s="2267" t="s">
        <v>1241</v>
      </c>
      <c r="H39" s="2909"/>
    </row>
    <row r="40" spans="1:17" ht="15.6" hidden="1">
      <c r="A40" s="2909"/>
      <c r="B40" s="2270" t="s">
        <v>1242</v>
      </c>
      <c r="C40" s="2271" t="s">
        <v>87</v>
      </c>
      <c r="D40" s="2270" t="s">
        <v>1243</v>
      </c>
      <c r="E40" s="2268" t="s">
        <v>87</v>
      </c>
      <c r="F40" s="2268"/>
      <c r="G40" s="2270"/>
      <c r="H40" s="2270" t="s">
        <v>1270</v>
      </c>
    </row>
    <row r="41" spans="1:17" hidden="1">
      <c r="A41" s="2909"/>
      <c r="B41" s="2268" t="s">
        <v>99</v>
      </c>
      <c r="C41" s="2271"/>
      <c r="D41" s="2268" t="s">
        <v>344</v>
      </c>
      <c r="E41" s="2268"/>
      <c r="F41" s="2268" t="s">
        <v>344</v>
      </c>
      <c r="G41" s="2268" t="s">
        <v>87</v>
      </c>
      <c r="H41" s="2268" t="s">
        <v>1244</v>
      </c>
    </row>
    <row r="42" spans="1:17" hidden="1">
      <c r="A42" s="2265" t="s">
        <v>292</v>
      </c>
      <c r="B42" s="2286">
        <v>427956.36</v>
      </c>
      <c r="C42" s="2278">
        <f>B42/B31-1</f>
        <v>0.17414103305261452</v>
      </c>
      <c r="D42" s="2286">
        <v>179.28</v>
      </c>
      <c r="E42" s="2278">
        <f>D42/D31-1</f>
        <v>0.18446088794925997</v>
      </c>
      <c r="F42" s="2286">
        <v>789.41</v>
      </c>
      <c r="G42" s="2278">
        <f>F42/F31-1</f>
        <v>0.17646795827123696</v>
      </c>
      <c r="H42" s="2279">
        <f>(B42*12/(F42-D42))</f>
        <v>8417.0198482290671</v>
      </c>
    </row>
    <row r="43" spans="1:17" hidden="1">
      <c r="A43" s="2265" t="s">
        <v>276</v>
      </c>
      <c r="B43" s="2286">
        <v>781756.21</v>
      </c>
      <c r="C43" s="2278">
        <f>B43/B32-1</f>
        <v>0.14228188072445058</v>
      </c>
      <c r="D43" s="2286">
        <v>191.71</v>
      </c>
      <c r="E43" s="2278">
        <f>D43/D32-1</f>
        <v>0.18251912163829265</v>
      </c>
      <c r="F43" s="2286">
        <v>1324.32</v>
      </c>
      <c r="G43" s="2278">
        <f>F43/F32-1</f>
        <v>0.14793914965544119</v>
      </c>
      <c r="H43" s="2279">
        <f>(B43*12/(F43-D43))</f>
        <v>8282.7050087850184</v>
      </c>
    </row>
    <row r="44" spans="1:17" hidden="1">
      <c r="A44" s="2265" t="s">
        <v>348</v>
      </c>
      <c r="B44" s="2286">
        <v>1110334.72</v>
      </c>
      <c r="C44" s="2278">
        <f>B44/B33-1</f>
        <v>0.17751383919929276</v>
      </c>
      <c r="D44" s="2286">
        <v>469.5</v>
      </c>
      <c r="E44" s="2278" t="e">
        <f>D44/D33-1</f>
        <v>#DIV/0!</v>
      </c>
      <c r="F44" s="2286">
        <v>2146.56</v>
      </c>
      <c r="G44" s="2278" t="e">
        <f>F44/F33-1</f>
        <v>#DIV/0!</v>
      </c>
      <c r="H44" s="2279">
        <f>(B44*12/(F44-D44))</f>
        <v>7944.8658008658012</v>
      </c>
    </row>
    <row r="45" spans="1:17" hidden="1">
      <c r="A45" s="2265" t="s">
        <v>280</v>
      </c>
      <c r="B45" s="2286">
        <v>2019526.48</v>
      </c>
      <c r="C45" s="2278">
        <f>B45/B34-1</f>
        <v>0.23130962947961575</v>
      </c>
      <c r="D45" s="2286">
        <v>535.79999999999995</v>
      </c>
      <c r="E45" s="2278">
        <f>D45/D34-1</f>
        <v>0.13502520865991596</v>
      </c>
      <c r="F45" s="2286">
        <v>3325.91</v>
      </c>
      <c r="G45" s="2278">
        <f>F45/F34-1</f>
        <v>0.21044299190589877</v>
      </c>
      <c r="H45" s="2279">
        <f>(B45*12/(F45-D45))</f>
        <v>8685.7929472314718</v>
      </c>
    </row>
    <row r="46" spans="1:17" ht="27" hidden="1">
      <c r="A46" s="2265" t="s">
        <v>449</v>
      </c>
      <c r="B46" s="2286">
        <v>22308.959999999999</v>
      </c>
      <c r="C46" s="2278">
        <f>B46/B35-1</f>
        <v>-0.83314520469423092</v>
      </c>
      <c r="D46" s="2286">
        <v>210.28899999999999</v>
      </c>
      <c r="E46" s="2278">
        <f>D46/D35-1</f>
        <v>0.40192666666666654</v>
      </c>
      <c r="F46" s="2286">
        <v>258.20999999999998</v>
      </c>
      <c r="G46" s="2278">
        <f>F46/F35-1</f>
        <v>-0.40950878155872672</v>
      </c>
      <c r="H46" s="2279">
        <f>(B46*12/(F46-D46))</f>
        <v>5586.4343398510064</v>
      </c>
    </row>
    <row r="47" spans="1:17" hidden="1"/>
    <row r="48" spans="1:17" s="2234" customFormat="1" ht="15.6" hidden="1">
      <c r="A48" s="2230" t="s">
        <v>1267</v>
      </c>
      <c r="B48" s="2231"/>
      <c r="C48" s="2232"/>
      <c r="D48" s="2231"/>
      <c r="E48" s="2231"/>
      <c r="F48" s="2233"/>
      <c r="G48" s="2231"/>
      <c r="H48" s="2227"/>
      <c r="J48" s="2235"/>
      <c r="K48" s="2235"/>
    </row>
    <row r="49" spans="1:12" s="2234" customFormat="1" ht="15.75" hidden="1" customHeight="1">
      <c r="A49" s="3069" t="s">
        <v>1238</v>
      </c>
      <c r="B49" s="2287" t="s">
        <v>1239</v>
      </c>
      <c r="C49" s="2237"/>
      <c r="D49" s="2236"/>
      <c r="E49" s="2236"/>
      <c r="F49" s="2236" t="s">
        <v>1240</v>
      </c>
      <c r="G49" s="2236"/>
      <c r="H49" s="3069" t="s">
        <v>1298</v>
      </c>
      <c r="J49" s="2235"/>
      <c r="K49" s="2235"/>
      <c r="L49" s="2235"/>
    </row>
    <row r="50" spans="1:12" s="2234" customFormat="1" ht="69" hidden="1" customHeight="1">
      <c r="A50" s="2909"/>
      <c r="B50" s="2239" t="s">
        <v>338</v>
      </c>
      <c r="C50" s="2240" t="s">
        <v>1241</v>
      </c>
      <c r="D50" s="2239" t="s">
        <v>385</v>
      </c>
      <c r="E50" s="2241" t="s">
        <v>1241</v>
      </c>
      <c r="F50" s="2242" t="s">
        <v>340</v>
      </c>
      <c r="G50" s="2241" t="s">
        <v>1241</v>
      </c>
      <c r="H50" s="3073"/>
    </row>
    <row r="51" spans="1:12" s="2234" customFormat="1" ht="15.6" hidden="1">
      <c r="A51" s="2909"/>
      <c r="B51" s="2243" t="s">
        <v>1242</v>
      </c>
      <c r="C51" s="2244" t="s">
        <v>87</v>
      </c>
      <c r="D51" s="2243" t="s">
        <v>1243</v>
      </c>
      <c r="E51" s="2245" t="s">
        <v>87</v>
      </c>
      <c r="F51" s="2242"/>
      <c r="G51" s="2288" t="s">
        <v>87</v>
      </c>
      <c r="H51" s="2289" t="s">
        <v>1270</v>
      </c>
      <c r="J51" s="2235"/>
      <c r="K51" s="2235"/>
      <c r="L51" s="2235"/>
    </row>
    <row r="52" spans="1:12" s="2234" customFormat="1" ht="15.6" hidden="1">
      <c r="A52" s="2909"/>
      <c r="B52" s="2242" t="s">
        <v>99</v>
      </c>
      <c r="C52" s="2244"/>
      <c r="D52" s="2242" t="s">
        <v>344</v>
      </c>
      <c r="E52" s="2245"/>
      <c r="F52" s="2242" t="s">
        <v>344</v>
      </c>
      <c r="G52" s="2245"/>
      <c r="H52" s="2242" t="s">
        <v>1244</v>
      </c>
      <c r="J52" s="2235"/>
      <c r="K52" s="2235"/>
      <c r="L52" s="2235"/>
    </row>
    <row r="53" spans="1:12" s="2234" customFormat="1" ht="15.6" hidden="1">
      <c r="A53" s="2248" t="s">
        <v>292</v>
      </c>
      <c r="B53" s="2249">
        <v>364484.63</v>
      </c>
      <c r="C53" s="2247">
        <f>B53/B31-1</f>
        <v>0</v>
      </c>
      <c r="D53" s="2249">
        <v>151.36000000000001</v>
      </c>
      <c r="E53" s="2247">
        <f>D53/D31-1</f>
        <v>0</v>
      </c>
      <c r="F53" s="2249">
        <v>671</v>
      </c>
      <c r="G53" s="2247">
        <f>F53/F31-1</f>
        <v>0</v>
      </c>
      <c r="H53" s="2250">
        <f>(B53*6/(F53-D53))</f>
        <v>4208.5054653221468</v>
      </c>
      <c r="J53" s="2235"/>
      <c r="K53" s="2235"/>
      <c r="L53" s="2235"/>
    </row>
    <row r="54" spans="1:12" s="2234" customFormat="1" ht="15.6" hidden="1">
      <c r="A54" s="2248" t="s">
        <v>276</v>
      </c>
      <c r="B54" s="2249">
        <v>684381.17</v>
      </c>
      <c r="C54" s="2247">
        <f>B54/B32-1</f>
        <v>0</v>
      </c>
      <c r="D54" s="2249">
        <v>162.12</v>
      </c>
      <c r="E54" s="2247">
        <f>D54/D32-1</f>
        <v>0</v>
      </c>
      <c r="F54" s="2249">
        <v>1153.6500000000001</v>
      </c>
      <c r="G54" s="2247">
        <f>F54/F32-1</f>
        <v>0</v>
      </c>
      <c r="H54" s="2250">
        <f>(B54*6/(F54-D54))</f>
        <v>4141.3643762669817</v>
      </c>
      <c r="J54" s="2235"/>
      <c r="K54" s="2235"/>
      <c r="L54" s="2235"/>
    </row>
    <row r="55" spans="1:12" s="2234" customFormat="1" ht="15.6" hidden="1">
      <c r="A55" s="2248" t="s">
        <v>348</v>
      </c>
      <c r="B55" s="2249">
        <v>942948.34</v>
      </c>
      <c r="C55" s="2247">
        <f>B55/B33-1</f>
        <v>0</v>
      </c>
      <c r="D55" s="2249">
        <v>414.16</v>
      </c>
      <c r="E55" s="2247" t="e">
        <f>D55/D33-1</f>
        <v>#DIV/0!</v>
      </c>
      <c r="F55" s="2249">
        <v>1847.1</v>
      </c>
      <c r="G55" s="2247" t="e">
        <f>F55/F33-1</f>
        <v>#DIV/0!</v>
      </c>
      <c r="H55" s="2250">
        <f>(B55*6/(F55-D55))</f>
        <v>3948.3090987759438</v>
      </c>
      <c r="J55" s="2235"/>
      <c r="K55" s="2235"/>
      <c r="L55" s="2235"/>
    </row>
    <row r="56" spans="1:12" s="2234" customFormat="1" ht="15.6" hidden="1">
      <c r="A56" s="2248" t="s">
        <v>280</v>
      </c>
      <c r="B56" s="2249">
        <v>1640145.12</v>
      </c>
      <c r="C56" s="2247">
        <f>B56/B34-1</f>
        <v>0</v>
      </c>
      <c r="D56" s="2249">
        <v>472.06</v>
      </c>
      <c r="E56" s="2247">
        <f>D56/D34-1</f>
        <v>0</v>
      </c>
      <c r="F56" s="2249">
        <v>2747.68</v>
      </c>
      <c r="G56" s="2247">
        <f>F56/F34-1</f>
        <v>0</v>
      </c>
      <c r="H56" s="2250">
        <f>(B56*6/(F56-D56))</f>
        <v>4324.4789200305859</v>
      </c>
      <c r="J56" s="2235"/>
      <c r="K56" s="2235"/>
      <c r="L56" s="2235"/>
    </row>
    <row r="57" spans="1:12" s="2234" customFormat="1" ht="21.75" hidden="1" customHeight="1">
      <c r="A57" s="2248" t="s">
        <v>449</v>
      </c>
      <c r="B57" s="2249"/>
      <c r="C57" s="2247"/>
      <c r="D57" s="2249"/>
      <c r="E57" s="2247"/>
      <c r="F57" s="2249">
        <v>437.28</v>
      </c>
      <c r="G57" s="2247">
        <f>F57/F35-1</f>
        <v>0</v>
      </c>
      <c r="H57" s="2250"/>
      <c r="J57" s="2235"/>
      <c r="K57" s="2235"/>
      <c r="L57" s="2235"/>
    </row>
    <row r="58" spans="1:12" s="2234" customFormat="1" ht="21.75" hidden="1" customHeight="1">
      <c r="A58" s="2251"/>
      <c r="B58" s="2252"/>
      <c r="C58" s="2290"/>
      <c r="D58" s="2252"/>
      <c r="E58" s="2290"/>
      <c r="F58" s="2252"/>
      <c r="G58" s="2290"/>
      <c r="H58" s="2254"/>
      <c r="J58" s="2235"/>
      <c r="K58" s="2235"/>
      <c r="L58" s="2235"/>
    </row>
    <row r="59" spans="1:12" s="2234" customFormat="1" ht="15.6" hidden="1">
      <c r="A59" s="2230" t="s">
        <v>1271</v>
      </c>
      <c r="B59" s="2231"/>
      <c r="C59" s="2232"/>
      <c r="D59" s="2231"/>
      <c r="E59" s="2231"/>
      <c r="F59" s="2233"/>
      <c r="G59" s="2231"/>
      <c r="H59" s="2227"/>
      <c r="J59" s="2235"/>
      <c r="K59" s="2235"/>
    </row>
    <row r="60" spans="1:12" s="2234" customFormat="1" ht="15.75" hidden="1" customHeight="1">
      <c r="A60" s="3069" t="s">
        <v>1238</v>
      </c>
      <c r="B60" s="2287" t="s">
        <v>1239</v>
      </c>
      <c r="C60" s="2237"/>
      <c r="D60" s="2236"/>
      <c r="E60" s="2236"/>
      <c r="F60" s="2236" t="s">
        <v>1240</v>
      </c>
      <c r="G60" s="2236"/>
      <c r="H60" s="3069" t="s">
        <v>1299</v>
      </c>
      <c r="I60" s="3069" t="s">
        <v>336</v>
      </c>
      <c r="J60" s="2235"/>
      <c r="K60" s="2235"/>
      <c r="L60" s="2235"/>
    </row>
    <row r="61" spans="1:12" s="2234" customFormat="1" ht="69" hidden="1" customHeight="1">
      <c r="A61" s="2909"/>
      <c r="B61" s="2239" t="s">
        <v>338</v>
      </c>
      <c r="C61" s="2240" t="s">
        <v>1241</v>
      </c>
      <c r="D61" s="2239" t="s">
        <v>385</v>
      </c>
      <c r="E61" s="2241" t="s">
        <v>1241</v>
      </c>
      <c r="F61" s="2242" t="s">
        <v>340</v>
      </c>
      <c r="G61" s="2241" t="s">
        <v>1241</v>
      </c>
      <c r="H61" s="3073"/>
      <c r="I61" s="3073"/>
    </row>
    <row r="62" spans="1:12" s="2234" customFormat="1" ht="15.6" hidden="1">
      <c r="A62" s="2909"/>
      <c r="B62" s="2243" t="s">
        <v>1242</v>
      </c>
      <c r="C62" s="2244" t="s">
        <v>87</v>
      </c>
      <c r="D62" s="2243" t="s">
        <v>1243</v>
      </c>
      <c r="E62" s="2245" t="s">
        <v>87</v>
      </c>
      <c r="F62" s="2242"/>
      <c r="G62" s="2288" t="s">
        <v>87</v>
      </c>
      <c r="H62" s="2289" t="s">
        <v>1270</v>
      </c>
      <c r="I62" s="2289" t="s">
        <v>1270</v>
      </c>
      <c r="J62" s="2235"/>
      <c r="K62" s="2235"/>
      <c r="L62" s="2235"/>
    </row>
    <row r="63" spans="1:12" s="2234" customFormat="1" ht="15.6" hidden="1">
      <c r="A63" s="2909"/>
      <c r="B63" s="2242" t="s">
        <v>99</v>
      </c>
      <c r="C63" s="2244"/>
      <c r="D63" s="2242" t="s">
        <v>344</v>
      </c>
      <c r="E63" s="2245"/>
      <c r="F63" s="2242" t="s">
        <v>344</v>
      </c>
      <c r="G63" s="2245"/>
      <c r="H63" s="2242" t="s">
        <v>1244</v>
      </c>
      <c r="I63" s="2242" t="s">
        <v>1244</v>
      </c>
      <c r="J63" s="2235"/>
      <c r="K63" s="2235"/>
      <c r="L63" s="2235"/>
    </row>
    <row r="64" spans="1:12" s="2234" customFormat="1" ht="15.6" hidden="1">
      <c r="A64" s="2248" t="s">
        <v>292</v>
      </c>
      <c r="B64" s="2249">
        <v>397387.35</v>
      </c>
      <c r="C64" s="2247">
        <f>B64/B53-1</f>
        <v>9.0271899805486999E-2</v>
      </c>
      <c r="D64" s="2249">
        <v>158.29</v>
      </c>
      <c r="E64" s="2247">
        <f>D64/D53-1</f>
        <v>4.5784883720930036E-2</v>
      </c>
      <c r="F64" s="2249">
        <v>690.41</v>
      </c>
      <c r="G64" s="2247">
        <f>F64/F53-1</f>
        <v>2.8926974664679639E-2</v>
      </c>
      <c r="H64" s="2250">
        <f>(B64*6/(F64-D64))</f>
        <v>4480.8015109373819</v>
      </c>
      <c r="I64" s="2250">
        <f>H53+H64</f>
        <v>8689.3069762595296</v>
      </c>
      <c r="J64" s="2235"/>
      <c r="K64" s="2235"/>
      <c r="L64" s="2235"/>
    </row>
    <row r="65" spans="1:12" s="2234" customFormat="1" ht="15.6" hidden="1">
      <c r="A65" s="2248" t="s">
        <v>276</v>
      </c>
      <c r="B65" s="2249">
        <v>740597.33</v>
      </c>
      <c r="C65" s="2247">
        <f>B65/B54-1</f>
        <v>8.2141593696974269E-2</v>
      </c>
      <c r="D65" s="2249">
        <v>168.14</v>
      </c>
      <c r="E65" s="2247">
        <f>D65/D54-1</f>
        <v>3.7132987910189819E-2</v>
      </c>
      <c r="F65" s="2249">
        <v>1174.03</v>
      </c>
      <c r="G65" s="2247">
        <f>F65/F54-1</f>
        <v>1.7665669830537745E-2</v>
      </c>
      <c r="H65" s="2250">
        <f>(B65*6/(F65-D65))</f>
        <v>4417.5645249480558</v>
      </c>
      <c r="I65" s="2250">
        <f>H54+H65</f>
        <v>8558.9289012150366</v>
      </c>
      <c r="J65" s="2235"/>
      <c r="K65" s="2235"/>
      <c r="L65" s="2235"/>
    </row>
    <row r="66" spans="1:12" s="2234" customFormat="1" ht="15.6" hidden="1">
      <c r="A66" s="2248" t="s">
        <v>348</v>
      </c>
      <c r="B66" s="2249">
        <v>1021368.45</v>
      </c>
      <c r="C66" s="2247">
        <f>B66/B55-1</f>
        <v>8.3164799887128549E-2</v>
      </c>
      <c r="D66" s="2249">
        <v>432.48</v>
      </c>
      <c r="E66" s="2247">
        <f>D66/D55-1</f>
        <v>4.4234112420320715E-2</v>
      </c>
      <c r="F66" s="2249">
        <v>1817.25</v>
      </c>
      <c r="G66" s="2247">
        <f>F66/F55-1</f>
        <v>-1.6160467760272801E-2</v>
      </c>
      <c r="H66" s="2250">
        <f>(B66*6/(F66-D66))</f>
        <v>4425.4357763383086</v>
      </c>
      <c r="I66" s="2250">
        <f>H55+H66</f>
        <v>8373.7448751142529</v>
      </c>
      <c r="J66" s="2235"/>
      <c r="K66" s="2235"/>
      <c r="L66" s="2235"/>
    </row>
    <row r="67" spans="1:12" s="2234" customFormat="1" ht="15.6" hidden="1">
      <c r="A67" s="2248" t="s">
        <v>280</v>
      </c>
      <c r="B67" s="2249">
        <v>1766107.62</v>
      </c>
      <c r="C67" s="2247">
        <f>B67/B56-1</f>
        <v>7.6799606610419957E-2</v>
      </c>
      <c r="D67" s="2249">
        <v>495.34</v>
      </c>
      <c r="E67" s="2247">
        <f>D67/D56-1</f>
        <v>4.9315764945134122E-2</v>
      </c>
      <c r="F67" s="2249">
        <v>2688.41</v>
      </c>
      <c r="G67" s="2247">
        <f>F67/F56-1</f>
        <v>-2.157092528969895E-2</v>
      </c>
      <c r="H67" s="2250">
        <f>(B67*6/(F67-D67))</f>
        <v>4831.877559767815</v>
      </c>
      <c r="I67" s="2291">
        <f>H56+H67</f>
        <v>9156.3564797984</v>
      </c>
      <c r="J67" s="2235"/>
      <c r="K67" s="2235"/>
      <c r="L67" s="2235"/>
    </row>
    <row r="68" spans="1:12" s="2234" customFormat="1" ht="21.75" hidden="1" customHeight="1">
      <c r="A68" s="2248" t="s">
        <v>449</v>
      </c>
      <c r="B68" s="2249"/>
      <c r="C68" s="2247"/>
      <c r="D68" s="2249"/>
      <c r="E68" s="2247"/>
      <c r="F68" s="2249">
        <v>422.2</v>
      </c>
      <c r="G68" s="2247">
        <f>F68/F57-1</f>
        <v>-3.4485912916209283E-2</v>
      </c>
      <c r="H68" s="2250"/>
      <c r="I68" s="2250"/>
      <c r="J68" s="2235"/>
      <c r="K68" s="2235"/>
      <c r="L68" s="2235"/>
    </row>
    <row r="69" spans="1:12" s="2234" customFormat="1" ht="21.75" hidden="1" customHeight="1">
      <c r="A69" s="2251"/>
      <c r="B69" s="2252"/>
      <c r="C69" s="2290"/>
      <c r="D69" s="2252"/>
      <c r="E69" s="2290"/>
      <c r="F69" s="2252"/>
      <c r="G69" s="2290"/>
      <c r="H69" s="2254"/>
      <c r="J69" s="2235"/>
      <c r="K69" s="2235"/>
      <c r="L69" s="2235"/>
    </row>
    <row r="70" spans="1:12" hidden="1">
      <c r="A70" s="2230" t="s">
        <v>1358</v>
      </c>
      <c r="B70" s="2231"/>
      <c r="C70" s="2232"/>
      <c r="D70" s="2231"/>
      <c r="E70" s="2231"/>
      <c r="F70" s="2233"/>
      <c r="G70" s="2231"/>
    </row>
    <row r="71" spans="1:12" ht="18.75" hidden="1" customHeight="1">
      <c r="A71" s="3069" t="s">
        <v>1238</v>
      </c>
      <c r="B71" s="2236" t="s">
        <v>1239</v>
      </c>
      <c r="C71" s="2237"/>
      <c r="D71" s="2236"/>
      <c r="E71" s="2236"/>
      <c r="F71" s="2236" t="s">
        <v>1240</v>
      </c>
      <c r="G71" s="2236"/>
      <c r="H71" s="3069" t="s">
        <v>1298</v>
      </c>
    </row>
    <row r="72" spans="1:12" ht="66" hidden="1">
      <c r="A72" s="3074"/>
      <c r="B72" s="2239" t="s">
        <v>338</v>
      </c>
      <c r="C72" s="2240" t="s">
        <v>1241</v>
      </c>
      <c r="D72" s="2239" t="s">
        <v>385</v>
      </c>
      <c r="E72" s="2241" t="s">
        <v>1241</v>
      </c>
      <c r="F72" s="2242" t="s">
        <v>340</v>
      </c>
      <c r="G72" s="2241" t="s">
        <v>1241</v>
      </c>
      <c r="H72" s="3073"/>
    </row>
    <row r="73" spans="1:12" ht="15.6" hidden="1">
      <c r="A73" s="3074"/>
      <c r="B73" s="2243" t="s">
        <v>1242</v>
      </c>
      <c r="C73" s="2244" t="s">
        <v>87</v>
      </c>
      <c r="D73" s="2243" t="s">
        <v>1243</v>
      </c>
      <c r="E73" s="2245" t="s">
        <v>87</v>
      </c>
      <c r="F73" s="2242"/>
      <c r="G73" s="2288"/>
      <c r="H73" s="2289" t="s">
        <v>1270</v>
      </c>
    </row>
    <row r="74" spans="1:12" hidden="1">
      <c r="A74" s="3073"/>
      <c r="B74" s="2242" t="s">
        <v>99</v>
      </c>
      <c r="C74" s="2244"/>
      <c r="D74" s="2242" t="s">
        <v>344</v>
      </c>
      <c r="E74" s="2245"/>
      <c r="F74" s="2242" t="s">
        <v>344</v>
      </c>
      <c r="G74" s="2245" t="s">
        <v>87</v>
      </c>
      <c r="H74" s="2242" t="s">
        <v>1244</v>
      </c>
    </row>
    <row r="75" spans="1:12" hidden="1">
      <c r="A75" s="2248" t="s">
        <v>292</v>
      </c>
      <c r="B75" s="2249">
        <v>397387.35</v>
      </c>
      <c r="C75" s="2247">
        <f>B75/B64-1</f>
        <v>0</v>
      </c>
      <c r="D75" s="2249">
        <v>158.29</v>
      </c>
      <c r="E75" s="2247">
        <f>D75/D64-1</f>
        <v>0</v>
      </c>
      <c r="F75" s="2249">
        <v>690.41</v>
      </c>
      <c r="G75" s="2247">
        <f>F75/F64-1</f>
        <v>0</v>
      </c>
      <c r="H75" s="2250">
        <f>(B75*6/(F75-D75))</f>
        <v>4480.8015109373819</v>
      </c>
    </row>
    <row r="76" spans="1:12" hidden="1">
      <c r="A76" s="2248" t="s">
        <v>276</v>
      </c>
      <c r="B76" s="2249">
        <v>740597.33</v>
      </c>
      <c r="C76" s="2247">
        <f>B76/B65-1</f>
        <v>0</v>
      </c>
      <c r="D76" s="2249">
        <v>168.14</v>
      </c>
      <c r="E76" s="2247">
        <f>D76/D65-1</f>
        <v>0</v>
      </c>
      <c r="F76" s="2249">
        <v>1174.03</v>
      </c>
      <c r="G76" s="2247">
        <f>F76/F65-1</f>
        <v>0</v>
      </c>
      <c r="H76" s="2250">
        <f>(B76*6/(F76-D76))</f>
        <v>4417.5645249480558</v>
      </c>
    </row>
    <row r="77" spans="1:12" hidden="1">
      <c r="A77" s="2248" t="s">
        <v>348</v>
      </c>
      <c r="B77" s="2249">
        <v>1021368.45</v>
      </c>
      <c r="C77" s="2247">
        <f>B77/B66-1</f>
        <v>0</v>
      </c>
      <c r="D77" s="2249">
        <v>432.48</v>
      </c>
      <c r="E77" s="2247">
        <f>D77/D66-1</f>
        <v>0</v>
      </c>
      <c r="F77" s="2249">
        <v>1817.25</v>
      </c>
      <c r="G77" s="2247">
        <f>F77/F66-1</f>
        <v>0</v>
      </c>
      <c r="H77" s="2250">
        <f>(B77*6/(F77-D77))</f>
        <v>4425.4357763383086</v>
      </c>
    </row>
    <row r="78" spans="1:12" hidden="1">
      <c r="A78" s="2248" t="s">
        <v>280</v>
      </c>
      <c r="B78" s="2249">
        <v>1766107.62</v>
      </c>
      <c r="C78" s="2247">
        <f>B78/B67-1</f>
        <v>0</v>
      </c>
      <c r="D78" s="2249">
        <v>495.34</v>
      </c>
      <c r="E78" s="2247">
        <f>D78/D67-1</f>
        <v>0</v>
      </c>
      <c r="F78" s="2249">
        <v>2688.41</v>
      </c>
      <c r="G78" s="2247">
        <f>F78/F67-1</f>
        <v>0</v>
      </c>
      <c r="H78" s="2250">
        <f>(B78*6/(F78-D78))</f>
        <v>4831.877559767815</v>
      </c>
    </row>
    <row r="79" spans="1:12" ht="27" hidden="1">
      <c r="A79" s="2248" t="s">
        <v>449</v>
      </c>
      <c r="B79" s="2249"/>
      <c r="C79" s="2247"/>
      <c r="D79" s="2249"/>
      <c r="E79" s="2247"/>
      <c r="F79" s="2249">
        <v>422.2</v>
      </c>
      <c r="G79" s="2247">
        <f>F79/F68-1</f>
        <v>0</v>
      </c>
      <c r="H79" s="2250"/>
    </row>
    <row r="80" spans="1:12" hidden="1"/>
    <row r="81" spans="1:9" hidden="1">
      <c r="A81" s="2230" t="s">
        <v>1359</v>
      </c>
      <c r="B81" s="2231"/>
      <c r="C81" s="2232"/>
      <c r="D81" s="2231"/>
      <c r="E81" s="2231"/>
      <c r="F81" s="2233"/>
      <c r="G81" s="2231"/>
    </row>
    <row r="82" spans="1:9" ht="18.75" hidden="1" customHeight="1">
      <c r="A82" s="3069" t="s">
        <v>1238</v>
      </c>
      <c r="B82" s="2236" t="s">
        <v>1239</v>
      </c>
      <c r="C82" s="2237"/>
      <c r="D82" s="2236"/>
      <c r="E82" s="2236"/>
      <c r="F82" s="2236" t="s">
        <v>1240</v>
      </c>
      <c r="G82" s="2236"/>
      <c r="H82" s="3069" t="s">
        <v>1299</v>
      </c>
      <c r="I82" s="3069" t="s">
        <v>336</v>
      </c>
    </row>
    <row r="83" spans="1:9" ht="66" hidden="1">
      <c r="A83" s="3074"/>
      <c r="B83" s="2239" t="s">
        <v>338</v>
      </c>
      <c r="C83" s="2240" t="s">
        <v>1241</v>
      </c>
      <c r="D83" s="2239" t="s">
        <v>385</v>
      </c>
      <c r="E83" s="2241" t="s">
        <v>1241</v>
      </c>
      <c r="F83" s="2242" t="s">
        <v>340</v>
      </c>
      <c r="G83" s="2241" t="s">
        <v>1241</v>
      </c>
      <c r="H83" s="3073"/>
      <c r="I83" s="3073"/>
    </row>
    <row r="84" spans="1:9" ht="15.6" hidden="1">
      <c r="A84" s="3074"/>
      <c r="B84" s="2243" t="s">
        <v>1242</v>
      </c>
      <c r="C84" s="2244" t="s">
        <v>87</v>
      </c>
      <c r="D84" s="2243" t="s">
        <v>1243</v>
      </c>
      <c r="E84" s="2245" t="s">
        <v>87</v>
      </c>
      <c r="F84" s="2242"/>
      <c r="G84" s="2288"/>
      <c r="H84" s="2289" t="s">
        <v>1270</v>
      </c>
      <c r="I84" s="2289" t="s">
        <v>1270</v>
      </c>
    </row>
    <row r="85" spans="1:9" hidden="1">
      <c r="A85" s="3073"/>
      <c r="B85" s="2242" t="s">
        <v>99</v>
      </c>
      <c r="C85" s="2244"/>
      <c r="D85" s="2242" t="s">
        <v>344</v>
      </c>
      <c r="E85" s="2245"/>
      <c r="F85" s="2242" t="s">
        <v>344</v>
      </c>
      <c r="G85" s="2245" t="s">
        <v>87</v>
      </c>
      <c r="H85" s="2242" t="s">
        <v>1244</v>
      </c>
      <c r="I85" s="2242" t="s">
        <v>1244</v>
      </c>
    </row>
    <row r="86" spans="1:9" hidden="1">
      <c r="A86" s="2248" t="s">
        <v>292</v>
      </c>
      <c r="B86" s="2249">
        <v>448807.96</v>
      </c>
      <c r="C86" s="2247">
        <f>B86/B75-1</f>
        <v>0.12939669569250256</v>
      </c>
      <c r="D86" s="2249">
        <v>182.92</v>
      </c>
      <c r="E86" s="2247">
        <f>D86/D75-1</f>
        <v>0.15560048013140437</v>
      </c>
      <c r="F86" s="2249">
        <v>779.62</v>
      </c>
      <c r="G86" s="2247">
        <f>F86/F75-1</f>
        <v>0.12921307628800283</v>
      </c>
      <c r="H86" s="2250">
        <f>(B86*6/(F86-D86))</f>
        <v>4512.9005530417298</v>
      </c>
      <c r="I86" s="2250">
        <f>H75+H86</f>
        <v>8993.7020639791117</v>
      </c>
    </row>
    <row r="87" spans="1:9" hidden="1">
      <c r="A87" s="2248" t="s">
        <v>276</v>
      </c>
      <c r="B87" s="2249">
        <v>815684.34</v>
      </c>
      <c r="C87" s="2247">
        <f>B87/B76-1</f>
        <v>0.10138709249734945</v>
      </c>
      <c r="D87" s="2249">
        <v>173.48</v>
      </c>
      <c r="E87" s="2247">
        <f>D87/D76-1</f>
        <v>3.1759248245509797E-2</v>
      </c>
      <c r="F87" s="2249">
        <v>1325.68</v>
      </c>
      <c r="G87" s="2247">
        <f>F87/F76-1</f>
        <v>0.12917046412783328</v>
      </c>
      <c r="H87" s="2250">
        <f>(B87*6/(F87-D87))</f>
        <v>4247.618503731991</v>
      </c>
      <c r="I87" s="2250">
        <f>H76+H87</f>
        <v>8665.1830286800468</v>
      </c>
    </row>
    <row r="88" spans="1:9" hidden="1">
      <c r="A88" s="2248" t="s">
        <v>348</v>
      </c>
      <c r="B88" s="2249">
        <v>1123518.33</v>
      </c>
      <c r="C88" s="2247">
        <f>B88/B77-1</f>
        <v>0.10001276228965184</v>
      </c>
      <c r="D88" s="2249">
        <v>480.74</v>
      </c>
      <c r="E88" s="2247">
        <f>D88/D77-1</f>
        <v>0.11158897521272659</v>
      </c>
      <c r="F88" s="2249">
        <v>2041.19</v>
      </c>
      <c r="G88" s="2247">
        <f>F88/F77-1</f>
        <v>0.12323015545467064</v>
      </c>
      <c r="H88" s="2250">
        <f>(B88*6/(F88-D88))</f>
        <v>4319.9781985965592</v>
      </c>
      <c r="I88" s="2250">
        <f>H77+H88</f>
        <v>8745.4139749348687</v>
      </c>
    </row>
    <row r="89" spans="1:9" hidden="1">
      <c r="A89" s="2248" t="s">
        <v>280</v>
      </c>
      <c r="B89" s="2249">
        <v>1832395.98</v>
      </c>
      <c r="C89" s="2247">
        <f>B89/B78-1</f>
        <v>3.7533590393545646E-2</v>
      </c>
      <c r="D89" s="2249">
        <v>509.65</v>
      </c>
      <c r="E89" s="2247">
        <f>D89/D78-1</f>
        <v>2.8889247789397166E-2</v>
      </c>
      <c r="F89" s="2249">
        <v>3019.54</v>
      </c>
      <c r="G89" s="2247">
        <f>F89/F78-1</f>
        <v>0.12316945703966287</v>
      </c>
      <c r="H89" s="2250">
        <f>(B89*6/(F89-D89))</f>
        <v>4380.4214049221282</v>
      </c>
      <c r="I89" s="2291">
        <f>H78+H89</f>
        <v>9212.2989646899441</v>
      </c>
    </row>
    <row r="90" spans="1:9" ht="27" hidden="1">
      <c r="A90" s="2248" t="s">
        <v>449</v>
      </c>
      <c r="B90" s="2249"/>
      <c r="C90" s="2247"/>
      <c r="D90" s="2249"/>
      <c r="E90" s="2247"/>
      <c r="F90" s="2249">
        <v>632.74</v>
      </c>
      <c r="G90" s="2247">
        <f>F90/F79-1</f>
        <v>0.49867361440075797</v>
      </c>
      <c r="H90" s="2250"/>
      <c r="I90" s="2250"/>
    </row>
    <row r="91" spans="1:9" hidden="1"/>
    <row r="92" spans="1:9" hidden="1">
      <c r="A92" s="2230" t="s">
        <v>1253</v>
      </c>
      <c r="B92" s="2231"/>
      <c r="C92" s="2232"/>
      <c r="D92" s="2231"/>
      <c r="E92" s="2231"/>
      <c r="F92" s="2233"/>
      <c r="G92" s="2231"/>
    </row>
    <row r="93" spans="1:9" ht="18.75" hidden="1" customHeight="1">
      <c r="A93" s="3069" t="s">
        <v>1238</v>
      </c>
      <c r="B93" s="2236" t="s">
        <v>1239</v>
      </c>
      <c r="C93" s="2237"/>
      <c r="D93" s="2236"/>
      <c r="E93" s="2236"/>
      <c r="F93" s="2236" t="s">
        <v>1240</v>
      </c>
      <c r="G93" s="2236"/>
      <c r="H93" s="3069" t="s">
        <v>336</v>
      </c>
    </row>
    <row r="94" spans="1:9" ht="66" hidden="1">
      <c r="A94" s="3074"/>
      <c r="B94" s="2239" t="s">
        <v>338</v>
      </c>
      <c r="C94" s="2240" t="s">
        <v>1241</v>
      </c>
      <c r="D94" s="2239" t="s">
        <v>385</v>
      </c>
      <c r="E94" s="2241" t="s">
        <v>1241</v>
      </c>
      <c r="F94" s="2242" t="s">
        <v>340</v>
      </c>
      <c r="G94" s="2241" t="s">
        <v>1241</v>
      </c>
      <c r="H94" s="3073"/>
    </row>
    <row r="95" spans="1:9" ht="15.6" hidden="1">
      <c r="A95" s="3074"/>
      <c r="B95" s="2243" t="s">
        <v>1242</v>
      </c>
      <c r="C95" s="2244" t="s">
        <v>87</v>
      </c>
      <c r="D95" s="2243" t="s">
        <v>1243</v>
      </c>
      <c r="E95" s="2245" t="s">
        <v>87</v>
      </c>
      <c r="F95" s="2242"/>
      <c r="G95" s="2288"/>
      <c r="H95" s="2289" t="s">
        <v>1270</v>
      </c>
    </row>
    <row r="96" spans="1:9" hidden="1">
      <c r="A96" s="3073"/>
      <c r="B96" s="2242" t="s">
        <v>99</v>
      </c>
      <c r="C96" s="2244"/>
      <c r="D96" s="2242" t="s">
        <v>344</v>
      </c>
      <c r="E96" s="2245"/>
      <c r="F96" s="2242" t="s">
        <v>344</v>
      </c>
      <c r="G96" s="2245" t="s">
        <v>87</v>
      </c>
      <c r="H96" s="2242" t="s">
        <v>1244</v>
      </c>
    </row>
    <row r="97" spans="1:8" hidden="1">
      <c r="A97" s="2248" t="s">
        <v>292</v>
      </c>
      <c r="B97" s="2249">
        <v>556235.52000000002</v>
      </c>
      <c r="C97" s="2247">
        <f>B97/B86-1</f>
        <v>0.23936197566549389</v>
      </c>
      <c r="D97" s="2249">
        <v>233.02</v>
      </c>
      <c r="E97" s="2247">
        <f>D97/D75-1</f>
        <v>0.47210815591635624</v>
      </c>
      <c r="F97" s="2249">
        <v>1026.03</v>
      </c>
      <c r="G97" s="2247">
        <f>F97/F75-1</f>
        <v>0.48611694500369351</v>
      </c>
      <c r="H97" s="2250">
        <f>(B97*12/(F97-D97))</f>
        <v>8417.0770103781797</v>
      </c>
    </row>
    <row r="98" spans="1:8" hidden="1">
      <c r="A98" s="2248" t="s">
        <v>276</v>
      </c>
      <c r="B98" s="2249">
        <v>1016086.23</v>
      </c>
      <c r="C98" s="2247">
        <f>B98/B76-1</f>
        <v>0.37198203239539085</v>
      </c>
      <c r="D98" s="2249">
        <v>249.17</v>
      </c>
      <c r="E98" s="2247">
        <f>D98/D76-1</f>
        <v>0.48191982871416683</v>
      </c>
      <c r="F98" s="2249">
        <v>1721.28</v>
      </c>
      <c r="G98" s="2247">
        <f>F98/F76-1</f>
        <v>0.46612948561791434</v>
      </c>
      <c r="H98" s="2250">
        <f>(B98*12/(F98-D98))</f>
        <v>8282.69270638743</v>
      </c>
    </row>
    <row r="99" spans="1:8" hidden="1">
      <c r="A99" s="2248" t="s">
        <v>348</v>
      </c>
      <c r="B99" s="2249">
        <v>1443155.57</v>
      </c>
      <c r="C99" s="2247">
        <f>B99/B77-1</f>
        <v>0.41296274620583806</v>
      </c>
      <c r="D99" s="2249">
        <v>600.1</v>
      </c>
      <c r="E99" s="2247">
        <f>D99/D77-1</f>
        <v>0.38757861635220126</v>
      </c>
      <c r="F99" s="2249">
        <v>2789.99</v>
      </c>
      <c r="G99" s="2247">
        <f>F99/F77-1</f>
        <v>0.53528133168248715</v>
      </c>
      <c r="H99" s="2250">
        <f>(B99*12/(F99-D99))</f>
        <v>7908.0989638748979</v>
      </c>
    </row>
    <row r="100" spans="1:8" hidden="1">
      <c r="A100" s="2248" t="s">
        <v>280</v>
      </c>
      <c r="B100" s="2249">
        <v>2624875.9300000002</v>
      </c>
      <c r="C100" s="2247">
        <f>B100/B78-1</f>
        <v>0.48624913922289736</v>
      </c>
      <c r="D100" s="2249">
        <v>684.4</v>
      </c>
      <c r="E100" s="2247">
        <f>D100/D78-1</f>
        <v>0.3816772318003796</v>
      </c>
      <c r="F100" s="2249">
        <v>4322.84</v>
      </c>
      <c r="G100" s="2247">
        <f>F100/F78-1</f>
        <v>0.60795414389918223</v>
      </c>
      <c r="H100" s="2250">
        <f>(B100*12/(F100-D100))</f>
        <v>8657.1473378700775</v>
      </c>
    </row>
    <row r="101" spans="1:8" ht="27" hidden="1">
      <c r="A101" s="2248" t="s">
        <v>449</v>
      </c>
      <c r="B101" s="2249">
        <v>28996.04</v>
      </c>
      <c r="C101" s="2247" t="e">
        <f>B101/B79-1</f>
        <v>#DIV/0!</v>
      </c>
      <c r="D101" s="2249">
        <v>273.31</v>
      </c>
      <c r="E101" s="2247" t="e">
        <f>D101/D79-1</f>
        <v>#DIV/0!</v>
      </c>
      <c r="F101" s="2249">
        <v>335.61</v>
      </c>
      <c r="G101" s="2247">
        <f>F101/F79-1</f>
        <v>-0.20509237328280427</v>
      </c>
      <c r="H101" s="2250">
        <f>(B101*12/(F101-D101))</f>
        <v>5585.1120385232734</v>
      </c>
    </row>
    <row r="102" spans="1:8" hidden="1"/>
    <row r="104" spans="1:8">
      <c r="A104" s="2230" t="s">
        <v>1555</v>
      </c>
      <c r="B104" s="2231"/>
      <c r="C104" s="2232"/>
      <c r="D104" s="2231"/>
      <c r="E104" s="2231"/>
      <c r="F104" s="2233"/>
      <c r="G104" s="2231"/>
    </row>
    <row r="105" spans="1:8" ht="18.75" customHeight="1">
      <c r="A105" s="3069" t="s">
        <v>1238</v>
      </c>
      <c r="B105" s="2236" t="s">
        <v>1239</v>
      </c>
      <c r="C105" s="2237"/>
      <c r="D105" s="2236"/>
      <c r="E105" s="2236"/>
      <c r="F105" s="2236" t="s">
        <v>1240</v>
      </c>
      <c r="G105" s="2236"/>
      <c r="H105" s="3069" t="s">
        <v>336</v>
      </c>
    </row>
    <row r="106" spans="1:8" ht="66">
      <c r="A106" s="3074"/>
      <c r="B106" s="2239" t="s">
        <v>338</v>
      </c>
      <c r="C106" s="2240" t="s">
        <v>1241</v>
      </c>
      <c r="D106" s="2239" t="s">
        <v>385</v>
      </c>
      <c r="E106" s="2241" t="s">
        <v>1241</v>
      </c>
      <c r="F106" s="2242" t="s">
        <v>340</v>
      </c>
      <c r="G106" s="2241" t="s">
        <v>1241</v>
      </c>
      <c r="H106" s="3073"/>
    </row>
    <row r="107" spans="1:8" ht="15.6">
      <c r="A107" s="3074"/>
      <c r="B107" s="2243" t="s">
        <v>1242</v>
      </c>
      <c r="C107" s="2244" t="s">
        <v>87</v>
      </c>
      <c r="D107" s="2243" t="s">
        <v>1243</v>
      </c>
      <c r="E107" s="2245" t="s">
        <v>87</v>
      </c>
      <c r="F107" s="2242"/>
      <c r="G107" s="2288"/>
      <c r="H107" s="2289" t="s">
        <v>1270</v>
      </c>
    </row>
    <row r="108" spans="1:8">
      <c r="A108" s="3073"/>
      <c r="B108" s="2242" t="s">
        <v>99</v>
      </c>
      <c r="C108" s="2244"/>
      <c r="D108" s="2242" t="s">
        <v>344</v>
      </c>
      <c r="E108" s="2245"/>
      <c r="F108" s="2242" t="s">
        <v>344</v>
      </c>
      <c r="G108" s="2245" t="s">
        <v>87</v>
      </c>
      <c r="H108" s="2242" t="s">
        <v>1244</v>
      </c>
    </row>
    <row r="109" spans="1:8">
      <c r="A109" s="2248" t="s">
        <v>292</v>
      </c>
      <c r="B109" s="2249">
        <v>446315.56</v>
      </c>
      <c r="C109" s="2247">
        <f>B109/B97-1</f>
        <v>-0.19761406103659118</v>
      </c>
      <c r="D109" s="2249">
        <v>182.68</v>
      </c>
      <c r="E109" s="2247">
        <f>D109/D97-1</f>
        <v>-0.21603295854433091</v>
      </c>
      <c r="F109" s="2249">
        <v>783.69</v>
      </c>
      <c r="G109" s="2247">
        <f>F109/F97-1</f>
        <v>-0.23619192421274227</v>
      </c>
      <c r="H109" s="2250">
        <f>(B109*12/(F109-D109))</f>
        <v>8911.3104940017638</v>
      </c>
    </row>
    <row r="110" spans="1:8">
      <c r="A110" s="2248" t="s">
        <v>276</v>
      </c>
      <c r="B110" s="2249">
        <v>847448.2</v>
      </c>
      <c r="C110" s="2247">
        <f>B110/B98-1</f>
        <v>-0.1659682269289291</v>
      </c>
      <c r="D110" s="2249">
        <v>189.4</v>
      </c>
      <c r="E110" s="2247">
        <f>D110/D98-1</f>
        <v>-0.23987638961351676</v>
      </c>
      <c r="F110" s="2249">
        <v>1348.38</v>
      </c>
      <c r="G110" s="2247">
        <f>F110/F98-1</f>
        <v>-0.21664110429447847</v>
      </c>
      <c r="H110" s="2250">
        <f>(B110*12/(F110-D110))</f>
        <v>8774.4209563581753</v>
      </c>
    </row>
    <row r="111" spans="1:8">
      <c r="A111" s="2248" t="s">
        <v>348</v>
      </c>
      <c r="B111" s="2249">
        <v>1156955</v>
      </c>
      <c r="C111" s="2247">
        <f>B111/B99-1</f>
        <v>-0.1983158128960415</v>
      </c>
      <c r="D111" s="2249">
        <v>482.36</v>
      </c>
      <c r="E111" s="2247">
        <f>D111/D99-1</f>
        <v>-0.19620063322779535</v>
      </c>
      <c r="F111" s="2249">
        <v>2064.62</v>
      </c>
      <c r="G111" s="2247">
        <f>F111/F99-1</f>
        <v>-0.25999017917626943</v>
      </c>
      <c r="H111" s="2250">
        <f>(B111*12/(F111-D111))</f>
        <v>8774.4492055667215</v>
      </c>
    </row>
    <row r="112" spans="1:8">
      <c r="A112" s="2248" t="s">
        <v>280</v>
      </c>
      <c r="B112" s="2249">
        <v>1853656.95</v>
      </c>
      <c r="C112" s="2247">
        <f>B112/B100-1</f>
        <v>-0.29381159360168319</v>
      </c>
      <c r="D112" s="2249">
        <v>519.70000000000005</v>
      </c>
      <c r="E112" s="2247">
        <f>D112/D100-1</f>
        <v>-0.24064874342489762</v>
      </c>
      <c r="F112" s="2249">
        <v>3054.78</v>
      </c>
      <c r="G112" s="2247">
        <f>F112/F100-1</f>
        <v>-0.29333956380527615</v>
      </c>
      <c r="H112" s="2250">
        <f>(B112*12/(F112-D112))</f>
        <v>8774.4305505151715</v>
      </c>
    </row>
    <row r="113" spans="1:8" ht="27">
      <c r="A113" s="2248" t="s">
        <v>449</v>
      </c>
      <c r="B113" s="2249"/>
      <c r="C113" s="2247"/>
      <c r="D113" s="2249"/>
      <c r="E113" s="2247"/>
      <c r="F113" s="2249"/>
      <c r="G113" s="2247"/>
      <c r="H113" s="2250"/>
    </row>
    <row r="115" spans="1:8">
      <c r="A115" s="2230" t="s">
        <v>1556</v>
      </c>
      <c r="B115" s="2231"/>
      <c r="C115" s="2232"/>
      <c r="D115" s="2231"/>
      <c r="E115" s="2231"/>
      <c r="F115" s="2233"/>
      <c r="G115" s="2231"/>
    </row>
    <row r="116" spans="1:8" ht="18.75" customHeight="1">
      <c r="A116" s="3069" t="s">
        <v>1238</v>
      </c>
      <c r="B116" s="2236" t="s">
        <v>1239</v>
      </c>
      <c r="C116" s="2237"/>
      <c r="D116" s="2236"/>
      <c r="E116" s="2236"/>
      <c r="F116" s="2236" t="s">
        <v>1240</v>
      </c>
      <c r="G116" s="2236"/>
      <c r="H116" s="3069" t="s">
        <v>336</v>
      </c>
    </row>
    <row r="117" spans="1:8" ht="66">
      <c r="A117" s="3074"/>
      <c r="B117" s="2239" t="s">
        <v>338</v>
      </c>
      <c r="C117" s="2240" t="s">
        <v>1241</v>
      </c>
      <c r="D117" s="2239" t="s">
        <v>385</v>
      </c>
      <c r="E117" s="2241" t="s">
        <v>1241</v>
      </c>
      <c r="F117" s="2242" t="s">
        <v>340</v>
      </c>
      <c r="G117" s="2241" t="s">
        <v>1241</v>
      </c>
      <c r="H117" s="3073"/>
    </row>
    <row r="118" spans="1:8" ht="15.6">
      <c r="A118" s="3074"/>
      <c r="B118" s="2243" t="s">
        <v>1242</v>
      </c>
      <c r="C118" s="2244" t="s">
        <v>87</v>
      </c>
      <c r="D118" s="2243" t="s">
        <v>1243</v>
      </c>
      <c r="E118" s="2245" t="s">
        <v>87</v>
      </c>
      <c r="F118" s="2242"/>
      <c r="G118" s="2288"/>
      <c r="H118" s="2289" t="s">
        <v>1270</v>
      </c>
    </row>
    <row r="119" spans="1:8">
      <c r="A119" s="3073"/>
      <c r="B119" s="2242" t="s">
        <v>99</v>
      </c>
      <c r="C119" s="2244"/>
      <c r="D119" s="2242" t="s">
        <v>344</v>
      </c>
      <c r="E119" s="2245"/>
      <c r="F119" s="2242" t="s">
        <v>344</v>
      </c>
      <c r="G119" s="2245" t="s">
        <v>87</v>
      </c>
      <c r="H119" s="2242" t="s">
        <v>1244</v>
      </c>
    </row>
    <row r="120" spans="1:8">
      <c r="A120" s="2248" t="s">
        <v>292</v>
      </c>
      <c r="B120" s="2249">
        <v>696788.79</v>
      </c>
      <c r="C120" s="2247">
        <f>B120/B109-1</f>
        <v>0.56120210104258983</v>
      </c>
      <c r="D120" s="2249">
        <v>93.89</v>
      </c>
      <c r="E120" s="2247">
        <f>D120/D109-1</f>
        <v>-0.48604116487847604</v>
      </c>
      <c r="F120" s="2249">
        <v>1048.4000000000001</v>
      </c>
      <c r="G120" s="2247">
        <f>F120/F109-1</f>
        <v>0.33777386466587567</v>
      </c>
      <c r="H120" s="2250">
        <f>(B120*12/(F120-D120))</f>
        <v>8759.9558726466985</v>
      </c>
    </row>
    <row r="121" spans="1:8">
      <c r="A121" s="2248" t="s">
        <v>276</v>
      </c>
      <c r="B121" s="2249">
        <v>1170896.3600000001</v>
      </c>
      <c r="C121" s="2247">
        <f>B121/B110-1</f>
        <v>0.3816730745312813</v>
      </c>
      <c r="D121" s="2249">
        <v>198.82</v>
      </c>
      <c r="E121" s="2247">
        <f>D121/D110-1</f>
        <v>4.9736008447729629E-2</v>
      </c>
      <c r="F121" s="2249">
        <v>1802.78</v>
      </c>
      <c r="G121" s="2247">
        <f>F121/F110-1</f>
        <v>0.33699698897936781</v>
      </c>
      <c r="H121" s="2250">
        <f>(B121*12/(F121-D121))</f>
        <v>8760.0415970473077</v>
      </c>
    </row>
    <row r="122" spans="1:8">
      <c r="A122" s="2248" t="s">
        <v>348</v>
      </c>
      <c r="B122" s="2249">
        <v>1821035.14</v>
      </c>
      <c r="C122" s="2247">
        <f>B122/B111-1</f>
        <v>0.57398960201563587</v>
      </c>
      <c r="D122" s="2249">
        <v>261.7</v>
      </c>
      <c r="E122" s="2247">
        <f>D122/D111-1</f>
        <v>-0.45745915913425661</v>
      </c>
      <c r="F122" s="2249">
        <v>2756.27</v>
      </c>
      <c r="G122" s="2247">
        <f>F122/F111-1</f>
        <v>0.33500111400645172</v>
      </c>
      <c r="H122" s="2250">
        <f>(B122*12/(F122-D122))</f>
        <v>8759.9953819696366</v>
      </c>
    </row>
    <row r="123" spans="1:8">
      <c r="A123" s="2248" t="s">
        <v>280</v>
      </c>
      <c r="B123" s="2249">
        <v>2450996.14</v>
      </c>
      <c r="C123" s="2247">
        <f>B123/B112-1</f>
        <v>0.32224904937237731</v>
      </c>
      <c r="D123" s="2249">
        <v>714.49</v>
      </c>
      <c r="E123" s="2247">
        <f>D123/D112-1</f>
        <v>0.37481239176447945</v>
      </c>
      <c r="F123" s="2249">
        <v>4072.02</v>
      </c>
      <c r="G123" s="2247">
        <f>F123/F112-1</f>
        <v>0.33299943040087987</v>
      </c>
      <c r="H123" s="2250">
        <f>(B123*12/(F123-D123))</f>
        <v>8759.9972837174955</v>
      </c>
    </row>
    <row r="124" spans="1:8" ht="27">
      <c r="A124" s="2248" t="s">
        <v>449</v>
      </c>
      <c r="B124" s="2249"/>
      <c r="C124" s="2247"/>
      <c r="D124" s="2249"/>
      <c r="E124" s="2247"/>
      <c r="F124" s="2249"/>
      <c r="G124" s="2247"/>
      <c r="H124" s="2250"/>
    </row>
  </sheetData>
  <mergeCells count="24">
    <mergeCell ref="A93:A96"/>
    <mergeCell ref="H93:H94"/>
    <mergeCell ref="A105:A108"/>
    <mergeCell ref="H105:H106"/>
    <mergeCell ref="A116:A119"/>
    <mergeCell ref="H116:H117"/>
    <mergeCell ref="I60:I61"/>
    <mergeCell ref="A71:A74"/>
    <mergeCell ref="H71:H72"/>
    <mergeCell ref="A82:A85"/>
    <mergeCell ref="H82:H83"/>
    <mergeCell ref="I82:I83"/>
    <mergeCell ref="A38:A41"/>
    <mergeCell ref="H38:H39"/>
    <mergeCell ref="A49:A52"/>
    <mergeCell ref="H49:H50"/>
    <mergeCell ref="A60:A63"/>
    <mergeCell ref="H60:H61"/>
    <mergeCell ref="A5:A8"/>
    <mergeCell ref="H5:H6"/>
    <mergeCell ref="A16:A19"/>
    <mergeCell ref="H16:H17"/>
    <mergeCell ref="A27:A30"/>
    <mergeCell ref="H27:H2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64</vt:i4>
      </vt:variant>
      <vt:variant>
        <vt:lpstr>Именованные диапазоны</vt:lpstr>
      </vt:variant>
      <vt:variant>
        <vt:i4>31</vt:i4>
      </vt:variant>
    </vt:vector>
  </HeadingPairs>
  <TitlesOfParts>
    <vt:vector size="95" baseType="lpstr">
      <vt:lpstr>П 1.13 2016 расчет </vt:lpstr>
      <vt:lpstr>Выпад.дох.за 2015г.в тар.2017</vt:lpstr>
      <vt:lpstr>П.2.1.</vt:lpstr>
      <vt:lpstr>П.2.2.</vt:lpstr>
      <vt:lpstr>Баланс электроэнергии</vt:lpstr>
      <vt:lpstr>Баланс электрической мощности</vt:lpstr>
      <vt:lpstr>П1.30 -2020г., 1 и 2 п-е</vt:lpstr>
      <vt:lpstr>тсо 2020 год</vt:lpstr>
      <vt:lpstr>НК Энерго 2020 год</vt:lpstr>
      <vt:lpstr>Реестр всп.мат.2013пром. </vt:lpstr>
      <vt:lpstr>РСЭО факт за 2012г.</vt:lpstr>
      <vt:lpstr>Услуги стор.орг..-2013г. </vt:lpstr>
      <vt:lpstr>++ Реестр всп.мат.2014 с ЛОЦ</vt:lpstr>
      <vt:lpstr>Реестр всп.мат.2013пром.</vt:lpstr>
      <vt:lpstr>Реестр всп.мат.2012пром.</vt:lpstr>
      <vt:lpstr>Услуги стор.орг..-2018-2020гг.</vt:lpstr>
      <vt:lpstr>Услуги стор.орг..-2014г. (2)</vt:lpstr>
      <vt:lpstr>НВВ Расшифровка</vt:lpstr>
      <vt:lpstr>ФОТ 2018г. 2426+2496</vt:lpstr>
      <vt:lpstr>ФЗП  эл.эн.2014г. 2452</vt:lpstr>
      <vt:lpstr>П 1.16 АУП ОХР</vt:lpstr>
      <vt:lpstr>П 1.17ОХР </vt:lpstr>
      <vt:lpstr>П 1.17 свод</vt:lpstr>
      <vt:lpstr>Амортизация 19-20гг.</vt:lpstr>
      <vt:lpstr>ФОТ 2019г. свод 2452</vt:lpstr>
      <vt:lpstr>ФОТ 2011г. цех 2496ПСХ</vt:lpstr>
      <vt:lpstr>1тсо кроме мрск</vt:lpstr>
      <vt:lpstr>2тсо кроме мрск</vt:lpstr>
      <vt:lpstr>2016 тсо кроме мрск</vt:lpstr>
      <vt:lpstr>2016 тсо НК Энергосб</vt:lpstr>
      <vt:lpstr>Выпад.2014г.</vt:lpstr>
      <vt:lpstr>НВВ на содержание 2012г.</vt:lpstr>
      <vt:lpstr>Реестр всп.мат.2010 пром.+ПСХ</vt:lpstr>
      <vt:lpstr>Реестр вспомог.мат.2011 ПСХ</vt:lpstr>
      <vt:lpstr>Работы и услуги 2011г.</vt:lpstr>
      <vt:lpstr>РСЭО 2012г.</vt:lpstr>
      <vt:lpstr>Распред.приб. на соц.разв.2011</vt:lpstr>
      <vt:lpstr>П 1.17 цех.</vt:lpstr>
      <vt:lpstr>Амортизация цех10г. - 11г.</vt:lpstr>
      <vt:lpstr>П 1.17 ОХР</vt:lpstr>
      <vt:lpstr>1 И 2 ПОЛУГОДИЕ 2012</vt:lpstr>
      <vt:lpstr>2012</vt:lpstr>
      <vt:lpstr>1п-е 2012</vt:lpstr>
      <vt:lpstr>2п-е 2012</vt:lpstr>
      <vt:lpstr>2012 год</vt:lpstr>
      <vt:lpstr>НВВ на содержание</vt:lpstr>
      <vt:lpstr>послед2012г.об.по стр-ре СЭ (2)</vt:lpstr>
      <vt:lpstr>12г.Бал.уточ.Энерг+подсобн.хоз.</vt:lpstr>
      <vt:lpstr>Прилож.1-2012г.</vt:lpstr>
      <vt:lpstr>2012 Баланс  </vt:lpstr>
      <vt:lpstr>стр-ра пол.отп. 2012г.июнь</vt:lpstr>
      <vt:lpstr>П1.30 - 07.06.11г.</vt:lpstr>
      <vt:lpstr>С-Э и сет.расч.инд.межсет.2011</vt:lpstr>
      <vt:lpstr>изм.приказ 27 от 28.04.2011</vt:lpstr>
      <vt:lpstr>2012г.об.по стр-ре СЭ</vt:lpstr>
      <vt:lpstr>2012г.об.под факт2010</vt:lpstr>
      <vt:lpstr>пл.об расч.по инд.межсет.та (2)</vt:lpstr>
      <vt:lpstr>пл.об расч.по инд.межсет.тар.11</vt:lpstr>
      <vt:lpstr>УГРКЭ об.конрасч.по инд.межсет.</vt:lpstr>
      <vt:lpstr>Прилож.2 структура 2011г.-2012г</vt:lpstr>
      <vt:lpstr>орг. Корр-ка НВВ 2014г.</vt:lpstr>
      <vt:lpstr>П.2.1. утв.2015</vt:lpstr>
      <vt:lpstr>П.2.2.утв.2015</vt:lpstr>
      <vt:lpstr>1 И 2 ПОЛУГОДИЕ 2012 (2)</vt:lpstr>
      <vt:lpstr>'2016 тсо кроме мрск'!Excel_BuiltIn_Print_Area</vt:lpstr>
      <vt:lpstr>'2016 тсо НК Энергосб'!Excel_BuiltIn_Print_Area</vt:lpstr>
      <vt:lpstr>'2тсо кроме мрск'!Excel_BuiltIn_Print_Area</vt:lpstr>
      <vt:lpstr>Excel_BuiltIn_Print_Area</vt:lpstr>
      <vt:lpstr>'НВВ Расшифровка'!Заголовки_для_печати</vt:lpstr>
      <vt:lpstr>'орг. Корр-ка НВВ 2014г.'!Заголовки_для_печати</vt:lpstr>
      <vt:lpstr>'П1.30 - 07.06.11г.'!Заголовки_для_печати</vt:lpstr>
      <vt:lpstr>'П1.30 -2020г., 1 и 2 п-е'!Заголовки_для_печати</vt:lpstr>
      <vt:lpstr>'Прилож.2 структура 2011г.-2012г'!Заголовки_для_печати</vt:lpstr>
      <vt:lpstr>'РСЭО факт за 2012г.'!Заголовки_для_печати</vt:lpstr>
      <vt:lpstr>'Услуги стор.орг..-2013г. '!Заголовки_для_печати</vt:lpstr>
      <vt:lpstr>'Услуги стор.орг..-2014г. (2)'!Заголовки_для_печати</vt:lpstr>
      <vt:lpstr>'Услуги стор.орг..-2018-2020гг.'!Заголовки_для_печати</vt:lpstr>
      <vt:lpstr>'ФЗП  эл.эн.2014г. 2452'!Заголовки_для_печати</vt:lpstr>
      <vt:lpstr>'1тсо кроме мрск'!Область_печати</vt:lpstr>
      <vt:lpstr>'2016 тсо кроме мрск'!Область_печати</vt:lpstr>
      <vt:lpstr>'2016 тсо НК Энергосб'!Область_печати</vt:lpstr>
      <vt:lpstr>'2тсо кроме мрск'!Область_печати</vt:lpstr>
      <vt:lpstr>'Баланс электроэнергии'!Область_печати</vt:lpstr>
      <vt:lpstr>'Выпад.дох.за 2015г.в тар.2017'!Область_печати</vt:lpstr>
      <vt:lpstr>'НВВ на содержание 2012г.'!Область_печати</vt:lpstr>
      <vt:lpstr>'НВВ Расшифровка'!Область_печати</vt:lpstr>
      <vt:lpstr>'НК Энерго 2020 год'!Область_печати</vt:lpstr>
      <vt:lpstr>'орг. Корр-ка НВВ 2014г.'!Область_печати</vt:lpstr>
      <vt:lpstr>'П1.30 -2020г., 1 и 2 п-е'!Область_печати</vt:lpstr>
      <vt:lpstr>'Прилож.2 структура 2011г.-2012г'!Область_печати</vt:lpstr>
      <vt:lpstr>'тсо 2020 год'!Область_печати</vt:lpstr>
      <vt:lpstr>'Услуги стор.орг..-2014г. (2)'!Область_печати</vt:lpstr>
      <vt:lpstr>'Услуги стор.орг..-2018-2020гг.'!Область_печати</vt:lpstr>
      <vt:lpstr>'ФЗП  эл.эн.2014г. 2452'!Область_печати</vt:lpstr>
      <vt:lpstr>'ФОТ 2019г. свод 2452'!Область_печати</vt:lpstr>
    </vt:vector>
  </TitlesOfParts>
  <Company>SSPS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Лесовой Юрий Петрович</cp:lastModifiedBy>
  <cp:lastPrinted>2019-04-17T06:53:43Z</cp:lastPrinted>
  <dcterms:created xsi:type="dcterms:W3CDTF">2004-12-17T04:36:50Z</dcterms:created>
  <dcterms:modified xsi:type="dcterms:W3CDTF">2020-02-25T12:41:09Z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@Дата от">
    <vt:filetime>2020-02-25T12:42:17.0775052Z</vt:filetime>
  </property>
</Properties>
</file>